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Leslie\Desktop\"/>
    </mc:Choice>
  </mc:AlternateContent>
  <xr:revisionPtr revIDLastSave="0" documentId="8_{00C47016-B790-464D-9054-33A17EAEF45D}" xr6:coauthVersionLast="44" xr6:coauthVersionMax="44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C chart input" sheetId="17" r:id="rId1"/>
    <sheet name="p-chart alpha not given" sheetId="1" r:id="rId2"/>
    <sheet name="p-chart alpha given" sheetId="18" r:id="rId3"/>
    <sheet name="xbar and r chart raw data input" sheetId="16" r:id="rId4"/>
    <sheet name="xbar and r chart compiled data " sheetId="6" r:id="rId5"/>
    <sheet name="table for xbar and r chart" sheetId="4" r:id="rId6"/>
  </sheets>
  <calcPr calcId="191029" fullPrecision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1" i="18" l="1"/>
  <c r="H21" i="18"/>
  <c r="G21" i="18"/>
  <c r="F21" i="18"/>
  <c r="E21" i="18"/>
  <c r="I20" i="18"/>
  <c r="H20" i="18"/>
  <c r="G20" i="18"/>
  <c r="F20" i="18"/>
  <c r="E20" i="18"/>
  <c r="I19" i="18"/>
  <c r="H19" i="18"/>
  <c r="G19" i="18"/>
  <c r="F19" i="18"/>
  <c r="E19" i="18"/>
  <c r="E18" i="18"/>
  <c r="E17" i="18"/>
  <c r="E16" i="18"/>
  <c r="E15" i="18"/>
  <c r="E14" i="18"/>
  <c r="E13" i="18"/>
  <c r="E12" i="18"/>
  <c r="E11" i="18"/>
  <c r="E10" i="18"/>
  <c r="E9" i="18"/>
  <c r="O8" i="18"/>
  <c r="O9" i="18"/>
  <c r="E8" i="18"/>
  <c r="E7" i="18"/>
  <c r="E6" i="18"/>
  <c r="E5" i="18"/>
  <c r="E4" i="18"/>
  <c r="O3" i="18"/>
  <c r="E3" i="18"/>
  <c r="O2" i="18"/>
  <c r="O4" i="18"/>
  <c r="F13" i="18"/>
  <c r="F14" i="18"/>
  <c r="F8" i="18"/>
  <c r="E2" i="17"/>
  <c r="H6" i="17"/>
  <c r="I6" i="17"/>
  <c r="F12" i="18"/>
  <c r="F7" i="18"/>
  <c r="F9" i="18"/>
  <c r="F18" i="18"/>
  <c r="F17" i="18"/>
  <c r="F15" i="18"/>
  <c r="F3" i="18"/>
  <c r="F11" i="18"/>
  <c r="F10" i="18"/>
  <c r="F4" i="18"/>
  <c r="O5" i="18"/>
  <c r="O11" i="18"/>
  <c r="H13" i="18"/>
  <c r="F5" i="18"/>
  <c r="F16" i="18"/>
  <c r="F6" i="18"/>
  <c r="L7" i="6"/>
  <c r="L8" i="6"/>
  <c r="L9" i="6"/>
  <c r="L10" i="6"/>
  <c r="L11" i="6"/>
  <c r="L12" i="6"/>
  <c r="L13" i="6"/>
  <c r="L14" i="6"/>
  <c r="L15" i="6"/>
  <c r="K16" i="6"/>
  <c r="L16" i="6"/>
  <c r="M16" i="6"/>
  <c r="K17" i="6"/>
  <c r="L17" i="6"/>
  <c r="M17" i="6"/>
  <c r="K18" i="6"/>
  <c r="L18" i="6"/>
  <c r="M18" i="6"/>
  <c r="K19" i="6"/>
  <c r="L19" i="6"/>
  <c r="M19" i="6"/>
  <c r="K20" i="6"/>
  <c r="L20" i="6"/>
  <c r="M20" i="6"/>
  <c r="K21" i="6"/>
  <c r="L21" i="6"/>
  <c r="M21" i="6"/>
  <c r="K22" i="6"/>
  <c r="L22" i="6"/>
  <c r="M22" i="6"/>
  <c r="K23" i="6"/>
  <c r="L23" i="6"/>
  <c r="M23" i="6"/>
  <c r="K24" i="6"/>
  <c r="L24" i="6"/>
  <c r="M24" i="6"/>
  <c r="K25" i="6"/>
  <c r="L25" i="6"/>
  <c r="M25" i="6"/>
  <c r="K26" i="6"/>
  <c r="L26" i="6"/>
  <c r="M26" i="6"/>
  <c r="G7" i="6"/>
  <c r="F7" i="6"/>
  <c r="G8" i="6"/>
  <c r="F8" i="6"/>
  <c r="G9" i="6"/>
  <c r="F9" i="6"/>
  <c r="G10" i="6"/>
  <c r="F10" i="6"/>
  <c r="G11" i="6"/>
  <c r="F11" i="6"/>
  <c r="G12" i="6"/>
  <c r="H12" i="6"/>
  <c r="G13" i="6"/>
  <c r="H13" i="6"/>
  <c r="G14" i="6"/>
  <c r="H14" i="6"/>
  <c r="G15" i="6"/>
  <c r="F15" i="6"/>
  <c r="F16" i="6"/>
  <c r="G16" i="6"/>
  <c r="H16" i="6"/>
  <c r="F17" i="6"/>
  <c r="G17" i="6"/>
  <c r="H17" i="6"/>
  <c r="F18" i="6"/>
  <c r="G18" i="6"/>
  <c r="H18" i="6"/>
  <c r="F19" i="6"/>
  <c r="G19" i="6"/>
  <c r="H19" i="6"/>
  <c r="F20" i="6"/>
  <c r="G20" i="6"/>
  <c r="H20" i="6"/>
  <c r="F21" i="6"/>
  <c r="G21" i="6"/>
  <c r="H21" i="6"/>
  <c r="F22" i="6"/>
  <c r="G22" i="6"/>
  <c r="H22" i="6"/>
  <c r="F23" i="6"/>
  <c r="G23" i="6"/>
  <c r="H23" i="6"/>
  <c r="F24" i="6"/>
  <c r="G24" i="6"/>
  <c r="H24" i="6"/>
  <c r="F25" i="6"/>
  <c r="G25" i="6"/>
  <c r="H25" i="6"/>
  <c r="F26" i="6"/>
  <c r="G26" i="6"/>
  <c r="H26" i="6"/>
  <c r="I19" i="1"/>
  <c r="I20" i="1"/>
  <c r="I21" i="1"/>
  <c r="F19" i="1"/>
  <c r="G19" i="1"/>
  <c r="H19" i="1"/>
  <c r="F20" i="1"/>
  <c r="G20" i="1"/>
  <c r="H20" i="1"/>
  <c r="F21" i="1"/>
  <c r="G21" i="1"/>
  <c r="H21" i="1"/>
  <c r="L6" i="6"/>
  <c r="G6" i="6"/>
  <c r="H6" i="6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O10" i="18"/>
  <c r="G11" i="18"/>
  <c r="G16" i="18"/>
  <c r="G5" i="18"/>
  <c r="G13" i="18"/>
  <c r="I13" i="18"/>
  <c r="G9" i="18"/>
  <c r="G12" i="18"/>
  <c r="G3" i="18"/>
  <c r="G7" i="18"/>
  <c r="H7" i="18"/>
  <c r="I7" i="18"/>
  <c r="G4" i="18"/>
  <c r="G17" i="18"/>
  <c r="G18" i="18"/>
  <c r="G6" i="18"/>
  <c r="H6" i="18"/>
  <c r="I6" i="18"/>
  <c r="G10" i="18"/>
  <c r="G15" i="18"/>
  <c r="G14" i="18"/>
  <c r="G8" i="18"/>
  <c r="H9" i="18"/>
  <c r="H15" i="18"/>
  <c r="H17" i="18"/>
  <c r="H10" i="18"/>
  <c r="H11" i="18"/>
  <c r="H3" i="18"/>
  <c r="H4" i="18"/>
  <c r="H8" i="18"/>
  <c r="H12" i="18"/>
  <c r="H18" i="18"/>
  <c r="H5" i="18"/>
  <c r="H14" i="18"/>
  <c r="H16" i="18"/>
  <c r="M14" i="6"/>
  <c r="K15" i="6"/>
  <c r="K14" i="6"/>
  <c r="M13" i="6"/>
  <c r="K12" i="6"/>
  <c r="M12" i="6"/>
  <c r="M10" i="6"/>
  <c r="K11" i="6"/>
  <c r="K10" i="6"/>
  <c r="M9" i="6"/>
  <c r="K8" i="6"/>
  <c r="M8" i="6"/>
  <c r="K7" i="6"/>
  <c r="M15" i="6"/>
  <c r="K13" i="6"/>
  <c r="M11" i="6"/>
  <c r="K9" i="6"/>
  <c r="M7" i="6"/>
  <c r="H15" i="6"/>
  <c r="F14" i="6"/>
  <c r="F13" i="6"/>
  <c r="H11" i="6"/>
  <c r="F12" i="6"/>
  <c r="H9" i="6"/>
  <c r="H10" i="6"/>
  <c r="H8" i="6"/>
  <c r="H7" i="6"/>
  <c r="K6" i="6"/>
  <c r="F6" i="6"/>
  <c r="M6" i="6"/>
  <c r="I15" i="17"/>
  <c r="J15" i="17"/>
  <c r="K15" i="17"/>
  <c r="J14" i="17"/>
  <c r="I14" i="17"/>
  <c r="K14" i="17"/>
  <c r="I13" i="17"/>
  <c r="I12" i="17"/>
  <c r="K13" i="17"/>
  <c r="J13" i="17"/>
  <c r="K12" i="17"/>
  <c r="J12" i="17"/>
  <c r="I11" i="17"/>
  <c r="J11" i="17"/>
  <c r="K11" i="17"/>
  <c r="J10" i="17"/>
  <c r="K10" i="17"/>
  <c r="I10" i="17"/>
  <c r="J9" i="17"/>
  <c r="I9" i="17"/>
  <c r="K9" i="17"/>
  <c r="K8" i="17"/>
  <c r="J8" i="17"/>
  <c r="I8" i="17"/>
  <c r="I7" i="17"/>
  <c r="K7" i="17"/>
  <c r="J7" i="17"/>
  <c r="J6" i="17"/>
  <c r="K6" i="17"/>
  <c r="I5" i="18"/>
  <c r="I18" i="18"/>
  <c r="I17" i="18"/>
  <c r="I14" i="18"/>
  <c r="I10" i="18"/>
  <c r="I4" i="18"/>
  <c r="I15" i="18"/>
  <c r="I12" i="18"/>
  <c r="I16" i="18"/>
  <c r="I9" i="18"/>
  <c r="I11" i="18"/>
  <c r="I8" i="18"/>
  <c r="I3" i="18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O3" i="1"/>
  <c r="O2" i="1"/>
  <c r="E3" i="1"/>
  <c r="E4" i="1"/>
  <c r="E5" i="1"/>
  <c r="E6" i="1"/>
  <c r="E7" i="1"/>
  <c r="E8" i="1"/>
  <c r="E9" i="1"/>
  <c r="E10" i="1"/>
  <c r="E11" i="1"/>
  <c r="E12" i="1"/>
  <c r="E13" i="1"/>
  <c r="E15" i="1"/>
  <c r="E16" i="1"/>
  <c r="E17" i="1"/>
  <c r="E18" i="1"/>
  <c r="E19" i="1"/>
  <c r="E20" i="1"/>
  <c r="E21" i="1"/>
  <c r="E14" i="1"/>
  <c r="O8" i="1"/>
  <c r="O4" i="1"/>
  <c r="Q7" i="16"/>
  <c r="R7" i="16"/>
  <c r="Q8" i="16"/>
  <c r="R8" i="16"/>
  <c r="Q9" i="16"/>
  <c r="R9" i="16"/>
  <c r="Q10" i="16"/>
  <c r="R10" i="16"/>
  <c r="Q11" i="16"/>
  <c r="R11" i="16"/>
  <c r="Q12" i="16"/>
  <c r="R12" i="16"/>
  <c r="Q13" i="16"/>
  <c r="R13" i="16"/>
  <c r="Q14" i="16"/>
  <c r="R14" i="16"/>
  <c r="Q15" i="16"/>
  <c r="R15" i="16"/>
  <c r="Q16" i="16"/>
  <c r="R16" i="16"/>
  <c r="Q17" i="16"/>
  <c r="R17" i="16"/>
  <c r="Q18" i="16"/>
  <c r="R18" i="16"/>
  <c r="Q19" i="16"/>
  <c r="R19" i="16"/>
  <c r="Q20" i="16"/>
  <c r="R20" i="16"/>
  <c r="Q21" i="16"/>
  <c r="R21" i="16"/>
  <c r="AB21" i="16"/>
  <c r="Q22" i="16"/>
  <c r="R22" i="16"/>
  <c r="AB22" i="16"/>
  <c r="Q23" i="16"/>
  <c r="W23" i="16"/>
  <c r="R23" i="16"/>
  <c r="AB23" i="16"/>
  <c r="Q24" i="16"/>
  <c r="R24" i="16"/>
  <c r="AB24" i="16"/>
  <c r="Q25" i="16"/>
  <c r="W25" i="16"/>
  <c r="R25" i="16"/>
  <c r="AB25" i="16"/>
  <c r="Q26" i="16"/>
  <c r="R26" i="16"/>
  <c r="AB26" i="16"/>
  <c r="Q6" i="16"/>
  <c r="R6" i="16"/>
  <c r="W21" i="16"/>
  <c r="N16" i="6"/>
  <c r="N17" i="6"/>
  <c r="N18" i="6"/>
  <c r="N19" i="6"/>
  <c r="N20" i="6"/>
  <c r="N21" i="6"/>
  <c r="N22" i="6"/>
  <c r="N23" i="6"/>
  <c r="N24" i="6"/>
  <c r="N25" i="6"/>
  <c r="N26" i="6"/>
  <c r="I16" i="6"/>
  <c r="I17" i="6"/>
  <c r="I18" i="6"/>
  <c r="I19" i="6"/>
  <c r="I20" i="6"/>
  <c r="I21" i="6"/>
  <c r="I22" i="6"/>
  <c r="I23" i="6"/>
  <c r="I24" i="6"/>
  <c r="I25" i="6"/>
  <c r="I26" i="6"/>
  <c r="O5" i="1"/>
  <c r="O10" i="1"/>
  <c r="Y26" i="16"/>
  <c r="AA26" i="16"/>
  <c r="U26" i="16"/>
  <c r="V26" i="16"/>
  <c r="Z26" i="16"/>
  <c r="T26" i="16"/>
  <c r="W24" i="16"/>
  <c r="AA24" i="16"/>
  <c r="U24" i="16"/>
  <c r="V24" i="16"/>
  <c r="Y24" i="16"/>
  <c r="Z24" i="16"/>
  <c r="T24" i="16"/>
  <c r="W22" i="16"/>
  <c r="Y22" i="16"/>
  <c r="T22" i="16"/>
  <c r="AA22" i="16"/>
  <c r="V22" i="16"/>
  <c r="Z22" i="16"/>
  <c r="U22" i="16"/>
  <c r="U20" i="16"/>
  <c r="V20" i="16"/>
  <c r="Z20" i="16"/>
  <c r="Y20" i="16"/>
  <c r="U18" i="16"/>
  <c r="T18" i="16"/>
  <c r="Z18" i="16"/>
  <c r="U16" i="16"/>
  <c r="V16" i="16"/>
  <c r="Z16" i="16"/>
  <c r="V25" i="16"/>
  <c r="Y25" i="16"/>
  <c r="Z25" i="16"/>
  <c r="U25" i="16"/>
  <c r="T25" i="16"/>
  <c r="AA25" i="16"/>
  <c r="Z23" i="16"/>
  <c r="T23" i="16"/>
  <c r="AA23" i="16"/>
  <c r="V23" i="16"/>
  <c r="Y23" i="16"/>
  <c r="U23" i="16"/>
  <c r="V21" i="16"/>
  <c r="T21" i="16"/>
  <c r="U21" i="16"/>
  <c r="Y21" i="16"/>
  <c r="Z21" i="16"/>
  <c r="AA21" i="16"/>
  <c r="Z19" i="16"/>
  <c r="U19" i="16"/>
  <c r="T19" i="16"/>
  <c r="Z17" i="16"/>
  <c r="U17" i="16"/>
  <c r="V17" i="16"/>
  <c r="Z15" i="16"/>
  <c r="U15" i="16"/>
  <c r="T15" i="16"/>
  <c r="U14" i="16"/>
  <c r="V14" i="16"/>
  <c r="Z14" i="16"/>
  <c r="Z13" i="16"/>
  <c r="U13" i="16"/>
  <c r="V13" i="16"/>
  <c r="Z12" i="16"/>
  <c r="U12" i="16"/>
  <c r="V12" i="16"/>
  <c r="Z11" i="16"/>
  <c r="U11" i="16"/>
  <c r="V11" i="16"/>
  <c r="Z10" i="16"/>
  <c r="U10" i="16"/>
  <c r="T10" i="16"/>
  <c r="Z9" i="16"/>
  <c r="U9" i="16"/>
  <c r="T9" i="16"/>
  <c r="Z8" i="16"/>
  <c r="U8" i="16"/>
  <c r="V8" i="16"/>
  <c r="Z7" i="16"/>
  <c r="U7" i="16"/>
  <c r="V7" i="16"/>
  <c r="W26" i="16"/>
  <c r="Z6" i="16"/>
  <c r="U6" i="16"/>
  <c r="T6" i="16"/>
  <c r="O9" i="1"/>
  <c r="T20" i="16"/>
  <c r="W20" i="16"/>
  <c r="AA20" i="16"/>
  <c r="AB20" i="16"/>
  <c r="AA17" i="16"/>
  <c r="Y19" i="16"/>
  <c r="AA19" i="16"/>
  <c r="Y17" i="16"/>
  <c r="Y18" i="16"/>
  <c r="T16" i="16"/>
  <c r="W16" i="16"/>
  <c r="Y16" i="16"/>
  <c r="T17" i="16"/>
  <c r="W17" i="16"/>
  <c r="AA18" i="16"/>
  <c r="AB18" i="16"/>
  <c r="V19" i="16"/>
  <c r="W19" i="16"/>
  <c r="V18" i="16"/>
  <c r="W18" i="16"/>
  <c r="AA16" i="16"/>
  <c r="Y15" i="16"/>
  <c r="V15" i="16"/>
  <c r="W15" i="16"/>
  <c r="T14" i="16"/>
  <c r="W14" i="16"/>
  <c r="AA15" i="16"/>
  <c r="AA10" i="16"/>
  <c r="T13" i="16"/>
  <c r="W13" i="16"/>
  <c r="AA14" i="16"/>
  <c r="Y14" i="16"/>
  <c r="Y10" i="16"/>
  <c r="AA13" i="16"/>
  <c r="Y13" i="16"/>
  <c r="Y12" i="16"/>
  <c r="Y11" i="16"/>
  <c r="T12" i="16"/>
  <c r="W12" i="16"/>
  <c r="AA9" i="16"/>
  <c r="T11" i="16"/>
  <c r="W11" i="16"/>
  <c r="AA11" i="16"/>
  <c r="AA12" i="16"/>
  <c r="Y9" i="16"/>
  <c r="T8" i="16"/>
  <c r="V10" i="16"/>
  <c r="Y8" i="16"/>
  <c r="V9" i="16"/>
  <c r="AA8" i="16"/>
  <c r="Y7" i="16"/>
  <c r="AA7" i="16"/>
  <c r="T7" i="16"/>
  <c r="Y6" i="16"/>
  <c r="V6" i="16"/>
  <c r="AA6" i="16"/>
  <c r="AB17" i="16"/>
  <c r="AB19" i="16"/>
  <c r="AB16" i="16"/>
  <c r="W9" i="16"/>
  <c r="W10" i="16"/>
  <c r="W6" i="16"/>
  <c r="W7" i="16"/>
  <c r="W8" i="16"/>
  <c r="AB10" i="16"/>
  <c r="AB11" i="16"/>
  <c r="AB9" i="16"/>
  <c r="AB8" i="16"/>
  <c r="AB6" i="16"/>
  <c r="AB7" i="16"/>
  <c r="AB15" i="16"/>
  <c r="AB13" i="16"/>
  <c r="AB12" i="16"/>
  <c r="AB14" i="16"/>
  <c r="I7" i="6"/>
  <c r="I15" i="6"/>
  <c r="I13" i="6"/>
  <c r="I6" i="6"/>
  <c r="I11" i="6"/>
  <c r="I9" i="6"/>
  <c r="I14" i="6"/>
  <c r="I10" i="6"/>
  <c r="I12" i="6"/>
  <c r="I8" i="6"/>
  <c r="F17" i="1"/>
  <c r="F18" i="1"/>
  <c r="F12" i="1"/>
  <c r="F14" i="1"/>
  <c r="F13" i="1"/>
  <c r="F16" i="1"/>
  <c r="F15" i="1"/>
  <c r="F10" i="1"/>
  <c r="F11" i="1"/>
  <c r="F8" i="1"/>
  <c r="F9" i="1"/>
  <c r="F6" i="1"/>
  <c r="F7" i="1"/>
  <c r="F4" i="1"/>
  <c r="F5" i="1"/>
  <c r="F3" i="1"/>
  <c r="H17" i="1"/>
  <c r="H18" i="1"/>
  <c r="H12" i="1"/>
  <c r="H16" i="1"/>
  <c r="H15" i="1"/>
  <c r="H14" i="1"/>
  <c r="H13" i="1"/>
  <c r="H10" i="1"/>
  <c r="H11" i="1"/>
  <c r="H8" i="1"/>
  <c r="H9" i="1"/>
  <c r="H6" i="1"/>
  <c r="H7" i="1"/>
  <c r="H4" i="1"/>
  <c r="H5" i="1"/>
  <c r="H3" i="1"/>
  <c r="G17" i="1"/>
  <c r="I17" i="1"/>
  <c r="G18" i="1"/>
  <c r="I18" i="1"/>
  <c r="G12" i="1"/>
  <c r="I12" i="1"/>
  <c r="G15" i="1"/>
  <c r="I15" i="1"/>
  <c r="G14" i="1"/>
  <c r="I14" i="1"/>
  <c r="G13" i="1"/>
  <c r="I13" i="1"/>
  <c r="G16" i="1"/>
  <c r="I16" i="1"/>
  <c r="G10" i="1"/>
  <c r="I10" i="1"/>
  <c r="G11" i="1"/>
  <c r="I11" i="1"/>
  <c r="G8" i="1"/>
  <c r="I8" i="1"/>
  <c r="G9" i="1"/>
  <c r="I9" i="1"/>
  <c r="G6" i="1"/>
  <c r="I6" i="1"/>
  <c r="G7" i="1"/>
  <c r="I7" i="1"/>
  <c r="G4" i="1"/>
  <c r="I4" i="1"/>
  <c r="G5" i="1"/>
  <c r="I5" i="1"/>
  <c r="G3" i="1"/>
  <c r="I3" i="1"/>
  <c r="N8" i="6"/>
  <c r="N9" i="6"/>
  <c r="N12" i="6"/>
  <c r="N15" i="6"/>
  <c r="N6" i="6"/>
  <c r="N13" i="6"/>
  <c r="N14" i="6"/>
  <c r="N11" i="6"/>
  <c r="N7" i="6"/>
  <c r="N10" i="6"/>
  <c r="C15" i="17"/>
  <c r="C11" i="17"/>
  <c r="C14" i="17"/>
  <c r="C7" i="17"/>
  <c r="C8" i="17"/>
  <c r="C10" i="17"/>
  <c r="C13" i="17"/>
  <c r="C9" i="17"/>
  <c r="C12" i="17"/>
  <c r="C6" i="17"/>
</calcChain>
</file>

<file path=xl/sharedStrings.xml><?xml version="1.0" encoding="utf-8"?>
<sst xmlns="http://schemas.openxmlformats.org/spreadsheetml/2006/main" count="127" uniqueCount="67">
  <si>
    <t>Number of Defects</t>
  </si>
  <si>
    <t>Number in Sample</t>
  </si>
  <si>
    <t>Percent of defects</t>
  </si>
  <si>
    <t>Average of Defects</t>
  </si>
  <si>
    <t>Upper Limit</t>
  </si>
  <si>
    <t>Lower Limit</t>
  </si>
  <si>
    <t>Standard Deviations above and below average</t>
  </si>
  <si>
    <t>Above or Below accepted value</t>
  </si>
  <si>
    <t>Total defects</t>
  </si>
  <si>
    <t>Total sampled</t>
  </si>
  <si>
    <t>average proportion</t>
  </si>
  <si>
    <t>standard error of the proportion</t>
  </si>
  <si>
    <t>Sample number</t>
  </si>
  <si>
    <t>Item 1</t>
  </si>
  <si>
    <t>Item 2</t>
  </si>
  <si>
    <t>Item 3</t>
  </si>
  <si>
    <t>Range</t>
  </si>
  <si>
    <t>SampeSize</t>
  </si>
  <si>
    <r>
      <t>A</t>
    </r>
    <r>
      <rPr>
        <b/>
        <vertAlign val="subscript"/>
        <sz val="11"/>
        <rFont val="Arial"/>
        <family val="2"/>
      </rPr>
      <t>2</t>
    </r>
  </si>
  <si>
    <r>
      <t>d</t>
    </r>
    <r>
      <rPr>
        <b/>
        <vertAlign val="subscript"/>
        <sz val="11"/>
        <rFont val="Arial"/>
        <family val="2"/>
      </rPr>
      <t>2</t>
    </r>
  </si>
  <si>
    <r>
      <t>D</t>
    </r>
    <r>
      <rPr>
        <b/>
        <vertAlign val="subscript"/>
        <sz val="11"/>
        <rFont val="Arial"/>
        <family val="2"/>
      </rPr>
      <t>3</t>
    </r>
  </si>
  <si>
    <r>
      <t>D</t>
    </r>
    <r>
      <rPr>
        <b/>
        <vertAlign val="subscript"/>
        <sz val="11"/>
        <rFont val="Arial"/>
        <family val="2"/>
      </rPr>
      <t>4</t>
    </r>
  </si>
  <si>
    <t>Sample</t>
  </si>
  <si>
    <t>average</t>
  </si>
  <si>
    <t>Upper Lmit Range</t>
  </si>
  <si>
    <t>Lower Limit Range</t>
  </si>
  <si>
    <t>Sample Size</t>
  </si>
  <si>
    <t>Upper Limit x bar</t>
  </si>
  <si>
    <t>Lower Limit x bar</t>
  </si>
  <si>
    <t>x bar center line</t>
  </si>
  <si>
    <t>r bar  center line</t>
  </si>
  <si>
    <t>Above or Below acceptable value</t>
  </si>
  <si>
    <t>Color Key:</t>
  </si>
  <si>
    <t>Cells that require student input</t>
  </si>
  <si>
    <t>Compiled Sample Information</t>
  </si>
  <si>
    <t>Determine Samples that are not in Range Tolerance</t>
  </si>
  <si>
    <t>Size of Samples</t>
  </si>
  <si>
    <t>Determine Samples that are not in Mean Tolerance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</si>
  <si>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</si>
  <si>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</si>
  <si>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</si>
  <si>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</si>
  <si>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</si>
  <si>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</si>
  <si>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</si>
  <si>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</si>
  <si>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</si>
  <si>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Raw Data Collected for Sample</t>
  </si>
  <si>
    <t>Excel Intermediate Calculations</t>
  </si>
  <si>
    <t>Excel Calculated Results</t>
  </si>
  <si>
    <t>Major Headings</t>
  </si>
  <si>
    <t>Minor Headings</t>
  </si>
  <si>
    <t>Reference/Check Points</t>
  </si>
  <si>
    <t>Probability of outside of Tolerance  (1-confidence interval)</t>
  </si>
  <si>
    <t>Sample Summary</t>
  </si>
  <si>
    <t>Information From Samples</t>
  </si>
  <si>
    <t>Sample Number</t>
  </si>
  <si>
    <t>Number</t>
  </si>
  <si>
    <t>Count</t>
  </si>
  <si>
    <t>mean</t>
  </si>
  <si>
    <t>standard deviation</t>
  </si>
  <si>
    <t>size of tolerance</t>
  </si>
  <si>
    <t>Number of standard deviations</t>
  </si>
  <si>
    <t>Sample Information</t>
  </si>
  <si>
    <t>Values for Control Chart</t>
  </si>
  <si>
    <t>alpha</t>
  </si>
  <si>
    <t>z value 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</si>
</sst>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vertAlign val="subscript"/>
      <sz val="11"/>
      <name val="Arial"/>
      <family val="2"/>
    </font>
    <font>
      <sz val="11"/>
      <name val="Arial"/>
      <family val="2"/>
    </font>
    <font>
      <b/>
      <sz val="14"/>
      <color theme="1"/>
      <name val="Cambria"/>
      <family val="1"/>
    </font>
    <font>
      <sz val="18"/>
      <color theme="0"/>
      <name val="Cambria"/>
      <family val="1"/>
    </font>
    <font>
      <sz val="11"/>
      <color theme="1"/>
      <name val="Cambria"/>
      <family val="1"/>
    </font>
    <font>
      <b/>
      <sz val="12"/>
      <color theme="0"/>
      <name val="Cambria"/>
      <family val="1"/>
    </font>
    <font>
      <b/>
      <sz val="18"/>
      <color theme="0"/>
      <name val="Cambria"/>
      <family val="1"/>
    </font>
    <font>
      <b/>
      <sz val="14"/>
      <color theme="0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  <font>
      <b/>
      <sz val="12"/>
      <color rgb="FFFF0000"/>
      <name val="Cambria"/>
      <family val="1"/>
    </font>
    <font>
      <b/>
      <sz val="12"/>
      <name val="Cambria"/>
      <family val="1"/>
    </font>
    <font>
      <sz val="11"/>
      <color rgb="FFFF0000"/>
      <name val="Cambria"/>
      <family val="1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0" fontId="6" fillId="0" borderId="1" xfId="0" applyFont="1" applyBorder="1"/>
    <xf numFmtId="0" fontId="6" fillId="0" borderId="0" xfId="0" applyFont="1" applyFill="1" applyBorder="1"/>
    <xf numFmtId="0" fontId="6" fillId="0" borderId="0" xfId="0" applyFont="1" applyAlignment="1">
      <alignment wrapText="1"/>
    </xf>
    <xf numFmtId="0" fontId="7" fillId="5" borderId="2" xfId="0" applyFont="1" applyFill="1" applyBorder="1" applyAlignment="1">
      <alignment wrapText="1"/>
    </xf>
    <xf numFmtId="0" fontId="6" fillId="3" borderId="2" xfId="0" applyFont="1" applyFill="1" applyBorder="1"/>
    <xf numFmtId="0" fontId="6" fillId="0" borderId="12" xfId="0" applyFont="1" applyBorder="1"/>
    <xf numFmtId="0" fontId="6" fillId="0" borderId="0" xfId="0" applyFont="1" applyFill="1" applyBorder="1" applyAlignment="1">
      <alignment horizontal="right"/>
    </xf>
    <xf numFmtId="0" fontId="6" fillId="3" borderId="16" xfId="0" applyFont="1" applyFill="1" applyBorder="1"/>
    <xf numFmtId="0" fontId="9" fillId="0" borderId="0" xfId="0" applyFont="1" applyFill="1" applyBorder="1"/>
    <xf numFmtId="0" fontId="7" fillId="5" borderId="16" xfId="0" applyFont="1" applyFill="1" applyBorder="1" applyAlignment="1">
      <alignment wrapText="1"/>
    </xf>
    <xf numFmtId="0" fontId="10" fillId="0" borderId="0" xfId="0" applyFont="1"/>
    <xf numFmtId="0" fontId="10" fillId="6" borderId="16" xfId="0" applyFont="1" applyFill="1" applyBorder="1"/>
    <xf numFmtId="0" fontId="10" fillId="3" borderId="16" xfId="0" applyFont="1" applyFill="1" applyBorder="1"/>
    <xf numFmtId="0" fontId="11" fillId="6" borderId="17" xfId="0" applyFont="1" applyFill="1" applyBorder="1"/>
    <xf numFmtId="0" fontId="12" fillId="7" borderId="6" xfId="0" applyFont="1" applyFill="1" applyBorder="1"/>
    <xf numFmtId="0" fontId="11" fillId="6" borderId="3" xfId="0" applyFont="1" applyFill="1" applyBorder="1"/>
    <xf numFmtId="0" fontId="11" fillId="6" borderId="4" xfId="0" applyFont="1" applyFill="1" applyBorder="1"/>
    <xf numFmtId="0" fontId="6" fillId="7" borderId="2" xfId="0" applyFont="1" applyFill="1" applyBorder="1"/>
    <xf numFmtId="0" fontId="10" fillId="3" borderId="18" xfId="0" applyFont="1" applyFill="1" applyBorder="1"/>
    <xf numFmtId="0" fontId="10" fillId="3" borderId="19" xfId="0" applyFont="1" applyFill="1" applyBorder="1"/>
    <xf numFmtId="0" fontId="10" fillId="3" borderId="2" xfId="0" applyFont="1" applyFill="1" applyBorder="1"/>
    <xf numFmtId="0" fontId="10" fillId="3" borderId="7" xfId="0" applyFont="1" applyFill="1" applyBorder="1"/>
    <xf numFmtId="0" fontId="10" fillId="3" borderId="5" xfId="0" applyFont="1" applyFill="1" applyBorder="1"/>
    <xf numFmtId="0" fontId="10" fillId="3" borderId="8" xfId="0" applyFont="1" applyFill="1" applyBorder="1"/>
    <xf numFmtId="0" fontId="13" fillId="6" borderId="17" xfId="0" applyFont="1" applyFill="1" applyBorder="1"/>
    <xf numFmtId="0" fontId="13" fillId="6" borderId="3" xfId="0" applyFont="1" applyFill="1" applyBorder="1"/>
    <xf numFmtId="0" fontId="13" fillId="6" borderId="4" xfId="0" applyFont="1" applyFill="1" applyBorder="1"/>
    <xf numFmtId="0" fontId="7" fillId="5" borderId="16" xfId="0" applyFont="1" applyFill="1" applyBorder="1" applyAlignment="1">
      <alignment horizontal="right"/>
    </xf>
    <xf numFmtId="0" fontId="7" fillId="5" borderId="16" xfId="0" applyFont="1" applyFill="1" applyBorder="1" applyAlignment="1">
      <alignment horizontal="center" wrapText="1"/>
    </xf>
    <xf numFmtId="0" fontId="7" fillId="6" borderId="0" xfId="0" applyFont="1" applyFill="1" applyAlignment="1">
      <alignment horizontal="center" wrapText="1"/>
    </xf>
    <xf numFmtId="0" fontId="6" fillId="3" borderId="0" xfId="0" applyFont="1" applyFill="1"/>
    <xf numFmtId="0" fontId="14" fillId="0" borderId="0" xfId="0" applyFont="1"/>
    <xf numFmtId="165" fontId="10" fillId="7" borderId="3" xfId="0" applyNumberFormat="1" applyFont="1" applyFill="1" applyBorder="1"/>
    <xf numFmtId="165" fontId="10" fillId="7" borderId="2" xfId="0" applyNumberFormat="1" applyFont="1" applyFill="1" applyBorder="1"/>
    <xf numFmtId="164" fontId="6" fillId="7" borderId="2" xfId="0" applyNumberFormat="1" applyFont="1" applyFill="1" applyBorder="1"/>
    <xf numFmtId="165" fontId="6" fillId="7" borderId="2" xfId="0" applyNumberFormat="1" applyFont="1" applyFill="1" applyBorder="1"/>
    <xf numFmtId="165" fontId="6" fillId="7" borderId="2" xfId="1" applyNumberFormat="1" applyFont="1" applyFill="1" applyBorder="1"/>
    <xf numFmtId="165" fontId="6" fillId="0" borderId="0" xfId="0" applyNumberFormat="1" applyFont="1"/>
    <xf numFmtId="164" fontId="6" fillId="7" borderId="2" xfId="1" applyNumberFormat="1" applyFont="1" applyFill="1" applyBorder="1"/>
    <xf numFmtId="164" fontId="6" fillId="7" borderId="18" xfId="0" applyNumberFormat="1" applyFont="1" applyFill="1" applyBorder="1"/>
    <xf numFmtId="164" fontId="6" fillId="7" borderId="0" xfId="0" applyNumberFormat="1" applyFont="1" applyFill="1"/>
    <xf numFmtId="165" fontId="6" fillId="7" borderId="0" xfId="0" applyNumberFormat="1" applyFont="1" applyFill="1"/>
    <xf numFmtId="0" fontId="6" fillId="3" borderId="0" xfId="0" applyFont="1" applyFill="1" applyAlignment="1">
      <alignment horizontal="center"/>
    </xf>
    <xf numFmtId="165" fontId="6" fillId="7" borderId="0" xfId="0" applyNumberFormat="1" applyFont="1" applyFill="1" applyAlignment="1">
      <alignment horizontal="center"/>
    </xf>
    <xf numFmtId="164" fontId="6" fillId="7" borderId="0" xfId="0" applyNumberFormat="1" applyFont="1" applyFill="1" applyAlignment="1">
      <alignment horizontal="center"/>
    </xf>
    <xf numFmtId="2" fontId="6" fillId="7" borderId="18" xfId="0" applyNumberFormat="1" applyFont="1" applyFill="1" applyBorder="1"/>
    <xf numFmtId="164" fontId="10" fillId="7" borderId="18" xfId="0" applyNumberFormat="1" applyFont="1" applyFill="1" applyBorder="1"/>
    <xf numFmtId="164" fontId="10" fillId="7" borderId="19" xfId="0" applyNumberFormat="1" applyFont="1" applyFill="1" applyBorder="1"/>
    <xf numFmtId="0" fontId="7" fillId="5" borderId="2" xfId="0" applyFont="1" applyFill="1" applyBorder="1" applyAlignment="1">
      <alignment horizontal="right"/>
    </xf>
    <xf numFmtId="2" fontId="6" fillId="3" borderId="2" xfId="0" applyNumberFormat="1" applyFont="1" applyFill="1" applyBorder="1"/>
    <xf numFmtId="0" fontId="8" fillId="4" borderId="28" xfId="0" applyFont="1" applyFill="1" applyBorder="1" applyAlignment="1">
      <alignment horizontal="center" wrapText="1"/>
    </xf>
    <xf numFmtId="0" fontId="8" fillId="4" borderId="0" xfId="0" applyFont="1" applyFill="1" applyBorder="1" applyAlignment="1">
      <alignment horizontal="center" wrapText="1"/>
    </xf>
    <xf numFmtId="0" fontId="7" fillId="5" borderId="28" xfId="0" applyFont="1" applyFill="1" applyBorder="1" applyAlignment="1">
      <alignment horizontal="center" wrapText="1"/>
    </xf>
    <xf numFmtId="0" fontId="7" fillId="5" borderId="0" xfId="0" applyFont="1" applyFill="1" applyBorder="1" applyAlignment="1">
      <alignment horizontal="center" wrapText="1"/>
    </xf>
    <xf numFmtId="0" fontId="5" fillId="4" borderId="1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right"/>
    </xf>
    <xf numFmtId="0" fontId="7" fillId="5" borderId="10" xfId="0" applyFont="1" applyFill="1" applyBorder="1" applyAlignment="1">
      <alignment horizontal="right"/>
    </xf>
    <xf numFmtId="0" fontId="7" fillId="5" borderId="11" xfId="0" applyFont="1" applyFill="1" applyBorder="1" applyAlignment="1">
      <alignment horizontal="right"/>
    </xf>
    <xf numFmtId="0" fontId="7" fillId="5" borderId="25" xfId="0" applyFont="1" applyFill="1" applyBorder="1" applyAlignment="1">
      <alignment horizontal="right"/>
    </xf>
    <xf numFmtId="0" fontId="7" fillId="5" borderId="24" xfId="0" applyFont="1" applyFill="1" applyBorder="1" applyAlignment="1">
      <alignment horizontal="right"/>
    </xf>
    <xf numFmtId="0" fontId="7" fillId="5" borderId="26" xfId="0" applyFont="1" applyFill="1" applyBorder="1" applyAlignment="1">
      <alignment horizontal="right"/>
    </xf>
    <xf numFmtId="0" fontId="7" fillId="5" borderId="2" xfId="0" applyFont="1" applyFill="1" applyBorder="1" applyAlignment="1">
      <alignment horizontal="right"/>
    </xf>
    <xf numFmtId="0" fontId="7" fillId="5" borderId="22" xfId="0" applyFont="1" applyFill="1" applyBorder="1" applyAlignment="1">
      <alignment horizontal="right"/>
    </xf>
    <xf numFmtId="0" fontId="7" fillId="5" borderId="12" xfId="0" applyFont="1" applyFill="1" applyBorder="1" applyAlignment="1">
      <alignment horizontal="right"/>
    </xf>
    <xf numFmtId="0" fontId="7" fillId="5" borderId="23" xfId="0" applyFont="1" applyFill="1" applyBorder="1" applyAlignment="1">
      <alignment horizontal="right"/>
    </xf>
    <xf numFmtId="0" fontId="8" fillId="4" borderId="15" xfId="0" applyFont="1" applyFill="1" applyBorder="1" applyAlignment="1">
      <alignment horizontal="center" wrapText="1"/>
    </xf>
    <xf numFmtId="0" fontId="8" fillId="4" borderId="20" xfId="0" applyFont="1" applyFill="1" applyBorder="1" applyAlignment="1">
      <alignment horizontal="center" wrapText="1"/>
    </xf>
    <xf numFmtId="0" fontId="8" fillId="4" borderId="27" xfId="0" applyFont="1" applyFill="1" applyBorder="1" applyAlignment="1">
      <alignment horizontal="center" wrapText="1"/>
    </xf>
    <xf numFmtId="0" fontId="8" fillId="4" borderId="21" xfId="0" applyFont="1" applyFill="1" applyBorder="1" applyAlignment="1">
      <alignment horizontal="center" wrapText="1"/>
    </xf>
    <xf numFmtId="0" fontId="9" fillId="5" borderId="13" xfId="0" applyFont="1" applyFill="1" applyBorder="1" applyAlignment="1">
      <alignment horizontal="center" wrapText="1"/>
    </xf>
    <xf numFmtId="0" fontId="9" fillId="5" borderId="14" xfId="0" applyFont="1" applyFill="1" applyBorder="1" applyAlignment="1">
      <alignment horizontal="center" wrapText="1"/>
    </xf>
    <xf numFmtId="0" fontId="8" fillId="4" borderId="20" xfId="0" applyFont="1" applyFill="1" applyBorder="1" applyAlignment="1">
      <alignment horizontal="center"/>
    </xf>
    <xf numFmtId="0" fontId="8" fillId="4" borderId="27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zoomScale="90" zoomScaleNormal="90" zoomScalePageLayoutView="90" workbookViewId="0">
      <selection activeCell="R25" sqref="R25"/>
    </sheetView>
  </sheetViews>
  <sheetFormatPr defaultColWidth="8.85546875" defaultRowHeight="14.25" x14ac:dyDescent="0.2"/>
  <cols>
    <col min="1" max="1" width="11.28515625" style="9" customWidth="1"/>
    <col min="2" max="2" width="9.28515625" style="9" bestFit="1" customWidth="1"/>
    <col min="3" max="3" width="14.42578125" style="9" customWidth="1"/>
    <col min="4" max="4" width="8.85546875" style="9"/>
    <col min="5" max="7" width="0" style="9" hidden="1" customWidth="1"/>
    <col min="8" max="8" width="9.42578125" style="9" bestFit="1" customWidth="1"/>
    <col min="9" max="9" width="18" style="9" bestFit="1" customWidth="1"/>
    <col min="10" max="10" width="9.42578125" style="9" bestFit="1" customWidth="1"/>
    <col min="11" max="11" width="9.28515625" style="9" bestFit="1" customWidth="1"/>
    <col min="12" max="16384" width="8.85546875" style="9"/>
  </cols>
  <sheetData>
    <row r="1" spans="1:11" ht="41.25" customHeight="1" x14ac:dyDescent="0.3">
      <c r="A1" s="61" t="s">
        <v>61</v>
      </c>
      <c r="B1" s="62"/>
      <c r="C1" s="62"/>
    </row>
    <row r="2" spans="1:11" ht="57" customHeight="1" x14ac:dyDescent="0.25">
      <c r="A2" s="63" t="s">
        <v>62</v>
      </c>
      <c r="B2" s="64"/>
      <c r="C2" s="53">
        <v>3</v>
      </c>
      <c r="E2" s="48">
        <f>2*_xlfn.NORM.S.DIST(C2*(-1), TRUE)</f>
        <v>3.0000000000000001E-3</v>
      </c>
    </row>
    <row r="4" spans="1:11" ht="23.25" thickBot="1" x14ac:dyDescent="0.35">
      <c r="A4" s="61" t="s">
        <v>63</v>
      </c>
      <c r="B4" s="62"/>
      <c r="C4" s="62"/>
      <c r="H4" s="65" t="s">
        <v>64</v>
      </c>
      <c r="I4" s="65"/>
      <c r="J4" s="65"/>
      <c r="K4" s="65"/>
    </row>
    <row r="5" spans="1:11" ht="63.75" thickBot="1" x14ac:dyDescent="0.3">
      <c r="A5" s="39" t="s">
        <v>57</v>
      </c>
      <c r="B5" s="39" t="s">
        <v>58</v>
      </c>
      <c r="C5" s="39" t="s">
        <v>31</v>
      </c>
      <c r="H5" s="39" t="s">
        <v>59</v>
      </c>
      <c r="I5" s="39" t="s">
        <v>60</v>
      </c>
      <c r="J5" s="39" t="s">
        <v>4</v>
      </c>
      <c r="K5" s="39" t="s">
        <v>5</v>
      </c>
    </row>
    <row r="6" spans="1:11" x14ac:dyDescent="0.2">
      <c r="A6" s="9">
        <v>1</v>
      </c>
      <c r="B6" s="41">
        <v>3</v>
      </c>
      <c r="C6" s="42" t="str">
        <f>IF(B6&lt;&gt;"",IF(B6&gt;$J$6,"Above",IF(B6&lt;$K$6,"Below","")),"")</f>
        <v/>
      </c>
      <c r="H6" s="54">
        <f>IF(B6&lt;&gt;"",AVERAGE($B$6:$B$30),"")</f>
        <v>10.25</v>
      </c>
      <c r="I6" s="55">
        <f>IF(B6&lt;&gt;"",SQRT($H$6),"")</f>
        <v>3.2016</v>
      </c>
      <c r="J6" s="54">
        <f>IF(B6&lt;&gt;"",$H$6+$C$2*$I$6,"")</f>
        <v>19.855</v>
      </c>
      <c r="K6" s="54">
        <f>IF(B6&lt;&gt;"",$H$6-$I$6*$C$2,"")</f>
        <v>0.64500000000000002</v>
      </c>
    </row>
    <row r="7" spans="1:11" x14ac:dyDescent="0.2">
      <c r="A7" s="9">
        <v>2</v>
      </c>
      <c r="B7" s="41">
        <v>14</v>
      </c>
      <c r="C7" s="42" t="str">
        <f t="shared" ref="C7:C30" si="0">IF(B7&lt;&gt;"",IF(B7&gt;$J$6,"Above",IF(B7&lt;$K$6,"Below","")),"")</f>
        <v/>
      </c>
      <c r="H7" s="54">
        <f t="shared" ref="H7:H30" si="1">IF(B7&lt;&gt;"",AVERAGE($B$6:$B$30),"")</f>
        <v>10.25</v>
      </c>
      <c r="I7" s="55">
        <f t="shared" ref="I7:I30" si="2">IF(B7&lt;&gt;"",SQRT($H$6),"")</f>
        <v>3.2016</v>
      </c>
      <c r="J7" s="54">
        <f t="shared" ref="J7:J30" si="3">IF(B7&lt;&gt;"",$H$6+$C$2*$I$6,"")</f>
        <v>19.855</v>
      </c>
      <c r="K7" s="54">
        <f t="shared" ref="K7:K30" si="4">IF(B7&lt;&gt;"",$H$6-$I$6*$C$2,"")</f>
        <v>0.64500000000000002</v>
      </c>
    </row>
    <row r="8" spans="1:11" x14ac:dyDescent="0.2">
      <c r="A8" s="9">
        <v>3</v>
      </c>
      <c r="B8" s="41">
        <v>12</v>
      </c>
      <c r="C8" s="42" t="str">
        <f t="shared" si="0"/>
        <v/>
      </c>
      <c r="H8" s="54">
        <f t="shared" si="1"/>
        <v>10.25</v>
      </c>
      <c r="I8" s="55">
        <f t="shared" si="2"/>
        <v>3.2016</v>
      </c>
      <c r="J8" s="54">
        <f t="shared" si="3"/>
        <v>19.855</v>
      </c>
      <c r="K8" s="54">
        <f t="shared" si="4"/>
        <v>0.64500000000000002</v>
      </c>
    </row>
    <row r="9" spans="1:11" x14ac:dyDescent="0.2">
      <c r="A9" s="9">
        <v>4</v>
      </c>
      <c r="B9" s="41">
        <v>12</v>
      </c>
      <c r="C9" s="42" t="str">
        <f t="shared" si="0"/>
        <v/>
      </c>
      <c r="H9" s="54">
        <f t="shared" si="1"/>
        <v>10.25</v>
      </c>
      <c r="I9" s="55">
        <f t="shared" si="2"/>
        <v>3.2016</v>
      </c>
      <c r="J9" s="54">
        <f t="shared" si="3"/>
        <v>19.855</v>
      </c>
      <c r="K9" s="54">
        <f t="shared" si="4"/>
        <v>0.64500000000000002</v>
      </c>
    </row>
    <row r="10" spans="1:11" x14ac:dyDescent="0.2">
      <c r="A10" s="9">
        <v>5</v>
      </c>
      <c r="B10" s="41"/>
      <c r="C10" s="42" t="str">
        <f t="shared" si="0"/>
        <v/>
      </c>
      <c r="H10" s="54" t="str">
        <f t="shared" si="1"/>
        <v/>
      </c>
      <c r="I10" s="55" t="str">
        <f t="shared" si="2"/>
        <v/>
      </c>
      <c r="J10" s="54" t="str">
        <f t="shared" si="3"/>
        <v/>
      </c>
      <c r="K10" s="54" t="str">
        <f t="shared" si="4"/>
        <v/>
      </c>
    </row>
    <row r="11" spans="1:11" x14ac:dyDescent="0.2">
      <c r="A11" s="9">
        <v>6</v>
      </c>
      <c r="B11" s="41"/>
      <c r="C11" s="42" t="str">
        <f t="shared" si="0"/>
        <v/>
      </c>
      <c r="H11" s="54" t="str">
        <f t="shared" si="1"/>
        <v/>
      </c>
      <c r="I11" s="55" t="str">
        <f t="shared" si="2"/>
        <v/>
      </c>
      <c r="J11" s="54" t="str">
        <f t="shared" si="3"/>
        <v/>
      </c>
      <c r="K11" s="54" t="str">
        <f t="shared" si="4"/>
        <v/>
      </c>
    </row>
    <row r="12" spans="1:11" x14ac:dyDescent="0.2">
      <c r="A12" s="9">
        <v>7</v>
      </c>
      <c r="B12" s="41"/>
      <c r="C12" s="42" t="str">
        <f t="shared" si="0"/>
        <v/>
      </c>
      <c r="H12" s="54" t="str">
        <f t="shared" si="1"/>
        <v/>
      </c>
      <c r="I12" s="55" t="str">
        <f t="shared" si="2"/>
        <v/>
      </c>
      <c r="J12" s="54" t="str">
        <f t="shared" si="3"/>
        <v/>
      </c>
      <c r="K12" s="54" t="str">
        <f t="shared" si="4"/>
        <v/>
      </c>
    </row>
    <row r="13" spans="1:11" x14ac:dyDescent="0.2">
      <c r="A13" s="9">
        <v>8</v>
      </c>
      <c r="B13" s="41"/>
      <c r="C13" s="42" t="str">
        <f t="shared" si="0"/>
        <v/>
      </c>
      <c r="H13" s="54" t="str">
        <f t="shared" si="1"/>
        <v/>
      </c>
      <c r="I13" s="55" t="str">
        <f t="shared" si="2"/>
        <v/>
      </c>
      <c r="J13" s="54" t="str">
        <f t="shared" si="3"/>
        <v/>
      </c>
      <c r="K13" s="54" t="str">
        <f t="shared" si="4"/>
        <v/>
      </c>
    </row>
    <row r="14" spans="1:11" x14ac:dyDescent="0.2">
      <c r="A14" s="9">
        <v>9</v>
      </c>
      <c r="B14" s="41"/>
      <c r="C14" s="42" t="str">
        <f t="shared" si="0"/>
        <v/>
      </c>
      <c r="H14" s="54" t="str">
        <f t="shared" si="1"/>
        <v/>
      </c>
      <c r="I14" s="55" t="str">
        <f t="shared" si="2"/>
        <v/>
      </c>
      <c r="J14" s="54" t="str">
        <f t="shared" si="3"/>
        <v/>
      </c>
      <c r="K14" s="54" t="str">
        <f t="shared" si="4"/>
        <v/>
      </c>
    </row>
    <row r="15" spans="1:11" x14ac:dyDescent="0.2">
      <c r="A15" s="9">
        <v>10</v>
      </c>
      <c r="B15" s="41"/>
      <c r="C15" s="42" t="str">
        <f t="shared" si="0"/>
        <v/>
      </c>
      <c r="H15" s="54" t="str">
        <f t="shared" si="1"/>
        <v/>
      </c>
      <c r="I15" s="55" t="str">
        <f t="shared" si="2"/>
        <v/>
      </c>
      <c r="J15" s="54" t="str">
        <f t="shared" si="3"/>
        <v/>
      </c>
      <c r="K15" s="54" t="str">
        <f t="shared" si="4"/>
        <v/>
      </c>
    </row>
    <row r="16" spans="1:11" x14ac:dyDescent="0.2">
      <c r="A16" s="9">
        <v>11</v>
      </c>
      <c r="B16" s="41"/>
      <c r="C16" s="42" t="str">
        <f t="shared" si="0"/>
        <v/>
      </c>
      <c r="H16" s="54" t="str">
        <f t="shared" si="1"/>
        <v/>
      </c>
      <c r="I16" s="55" t="str">
        <f t="shared" si="2"/>
        <v/>
      </c>
      <c r="J16" s="54" t="str">
        <f t="shared" si="3"/>
        <v/>
      </c>
      <c r="K16" s="54" t="str">
        <f t="shared" si="4"/>
        <v/>
      </c>
    </row>
    <row r="17" spans="1:11" x14ac:dyDescent="0.2">
      <c r="A17" s="9">
        <v>12</v>
      </c>
      <c r="B17" s="41"/>
      <c r="C17" s="42" t="str">
        <f t="shared" si="0"/>
        <v/>
      </c>
      <c r="H17" s="54" t="str">
        <f t="shared" si="1"/>
        <v/>
      </c>
      <c r="I17" s="55" t="str">
        <f t="shared" si="2"/>
        <v/>
      </c>
      <c r="J17" s="54" t="str">
        <f t="shared" si="3"/>
        <v/>
      </c>
      <c r="K17" s="54" t="str">
        <f t="shared" si="4"/>
        <v/>
      </c>
    </row>
    <row r="18" spans="1:11" x14ac:dyDescent="0.2">
      <c r="A18" s="9">
        <v>13</v>
      </c>
      <c r="B18" s="41"/>
      <c r="C18" s="42" t="str">
        <f t="shared" si="0"/>
        <v/>
      </c>
      <c r="H18" s="54" t="str">
        <f t="shared" si="1"/>
        <v/>
      </c>
      <c r="I18" s="55" t="str">
        <f t="shared" si="2"/>
        <v/>
      </c>
      <c r="J18" s="54" t="str">
        <f t="shared" si="3"/>
        <v/>
      </c>
      <c r="K18" s="54" t="str">
        <f t="shared" si="4"/>
        <v/>
      </c>
    </row>
    <row r="19" spans="1:11" x14ac:dyDescent="0.2">
      <c r="A19" s="9">
        <v>14</v>
      </c>
      <c r="B19" s="41"/>
      <c r="C19" s="42" t="str">
        <f t="shared" si="0"/>
        <v/>
      </c>
      <c r="H19" s="52" t="str">
        <f t="shared" si="1"/>
        <v/>
      </c>
      <c r="I19" s="51" t="str">
        <f t="shared" si="2"/>
        <v/>
      </c>
      <c r="J19" s="52" t="str">
        <f t="shared" si="3"/>
        <v/>
      </c>
      <c r="K19" s="52" t="str">
        <f t="shared" si="4"/>
        <v/>
      </c>
    </row>
    <row r="20" spans="1:11" x14ac:dyDescent="0.2">
      <c r="A20" s="9">
        <v>15</v>
      </c>
      <c r="B20" s="41"/>
      <c r="C20" s="42" t="str">
        <f t="shared" si="0"/>
        <v/>
      </c>
      <c r="H20" s="52" t="str">
        <f t="shared" si="1"/>
        <v/>
      </c>
      <c r="I20" s="51" t="str">
        <f t="shared" si="2"/>
        <v/>
      </c>
      <c r="J20" s="52" t="str">
        <f t="shared" si="3"/>
        <v/>
      </c>
      <c r="K20" s="52" t="str">
        <f t="shared" si="4"/>
        <v/>
      </c>
    </row>
    <row r="21" spans="1:11" x14ac:dyDescent="0.2">
      <c r="A21" s="9">
        <v>16</v>
      </c>
      <c r="B21" s="41"/>
      <c r="C21" s="42" t="str">
        <f t="shared" si="0"/>
        <v/>
      </c>
      <c r="H21" s="52" t="str">
        <f t="shared" si="1"/>
        <v/>
      </c>
      <c r="I21" s="51" t="str">
        <f t="shared" si="2"/>
        <v/>
      </c>
      <c r="J21" s="52" t="str">
        <f t="shared" si="3"/>
        <v/>
      </c>
      <c r="K21" s="52" t="str">
        <f t="shared" si="4"/>
        <v/>
      </c>
    </row>
    <row r="22" spans="1:11" x14ac:dyDescent="0.2">
      <c r="A22" s="9">
        <v>17</v>
      </c>
      <c r="B22" s="41"/>
      <c r="C22" s="42" t="str">
        <f t="shared" si="0"/>
        <v/>
      </c>
      <c r="H22" s="52" t="str">
        <f t="shared" si="1"/>
        <v/>
      </c>
      <c r="I22" s="51" t="str">
        <f t="shared" si="2"/>
        <v/>
      </c>
      <c r="J22" s="52" t="str">
        <f t="shared" si="3"/>
        <v/>
      </c>
      <c r="K22" s="52" t="str">
        <f t="shared" si="4"/>
        <v/>
      </c>
    </row>
    <row r="23" spans="1:11" x14ac:dyDescent="0.2">
      <c r="A23" s="9">
        <v>18</v>
      </c>
      <c r="B23" s="41"/>
      <c r="C23" s="42" t="str">
        <f t="shared" si="0"/>
        <v/>
      </c>
      <c r="H23" s="52" t="str">
        <f t="shared" si="1"/>
        <v/>
      </c>
      <c r="I23" s="51" t="str">
        <f t="shared" si="2"/>
        <v/>
      </c>
      <c r="J23" s="52" t="str">
        <f t="shared" si="3"/>
        <v/>
      </c>
      <c r="K23" s="52" t="str">
        <f t="shared" si="4"/>
        <v/>
      </c>
    </row>
    <row r="24" spans="1:11" x14ac:dyDescent="0.2">
      <c r="A24" s="9">
        <v>19</v>
      </c>
      <c r="B24" s="41"/>
      <c r="C24" s="42" t="str">
        <f t="shared" si="0"/>
        <v/>
      </c>
      <c r="H24" s="52" t="str">
        <f t="shared" si="1"/>
        <v/>
      </c>
      <c r="I24" s="51" t="str">
        <f t="shared" si="2"/>
        <v/>
      </c>
      <c r="J24" s="52" t="str">
        <f t="shared" si="3"/>
        <v/>
      </c>
      <c r="K24" s="52" t="str">
        <f t="shared" si="4"/>
        <v/>
      </c>
    </row>
    <row r="25" spans="1:11" x14ac:dyDescent="0.2">
      <c r="A25" s="9">
        <v>20</v>
      </c>
      <c r="B25" s="41"/>
      <c r="C25" s="42" t="str">
        <f t="shared" si="0"/>
        <v/>
      </c>
      <c r="H25" s="52" t="str">
        <f t="shared" si="1"/>
        <v/>
      </c>
      <c r="I25" s="51" t="str">
        <f t="shared" si="2"/>
        <v/>
      </c>
      <c r="J25" s="52" t="str">
        <f t="shared" si="3"/>
        <v/>
      </c>
      <c r="K25" s="52" t="str">
        <f t="shared" si="4"/>
        <v/>
      </c>
    </row>
    <row r="26" spans="1:11" x14ac:dyDescent="0.2">
      <c r="A26" s="9">
        <v>21</v>
      </c>
      <c r="B26" s="41"/>
      <c r="C26" s="42" t="str">
        <f t="shared" si="0"/>
        <v/>
      </c>
      <c r="H26" s="52" t="str">
        <f t="shared" si="1"/>
        <v/>
      </c>
      <c r="I26" s="51" t="str">
        <f t="shared" si="2"/>
        <v/>
      </c>
      <c r="J26" s="52" t="str">
        <f t="shared" si="3"/>
        <v/>
      </c>
      <c r="K26" s="52" t="str">
        <f t="shared" si="4"/>
        <v/>
      </c>
    </row>
    <row r="27" spans="1:11" x14ac:dyDescent="0.2">
      <c r="A27" s="9">
        <v>22</v>
      </c>
      <c r="B27" s="41"/>
      <c r="C27" s="42" t="str">
        <f t="shared" si="0"/>
        <v/>
      </c>
      <c r="H27" s="52" t="str">
        <f t="shared" si="1"/>
        <v/>
      </c>
      <c r="I27" s="51" t="str">
        <f t="shared" si="2"/>
        <v/>
      </c>
      <c r="J27" s="52" t="str">
        <f t="shared" si="3"/>
        <v/>
      </c>
      <c r="K27" s="52" t="str">
        <f t="shared" si="4"/>
        <v/>
      </c>
    </row>
    <row r="28" spans="1:11" x14ac:dyDescent="0.2">
      <c r="A28" s="9">
        <v>23</v>
      </c>
      <c r="B28" s="41"/>
      <c r="C28" s="42" t="str">
        <f t="shared" si="0"/>
        <v/>
      </c>
      <c r="H28" s="52" t="str">
        <f t="shared" si="1"/>
        <v/>
      </c>
      <c r="I28" s="51" t="str">
        <f t="shared" si="2"/>
        <v/>
      </c>
      <c r="J28" s="52" t="str">
        <f t="shared" si="3"/>
        <v/>
      </c>
      <c r="K28" s="52" t="str">
        <f t="shared" si="4"/>
        <v/>
      </c>
    </row>
    <row r="29" spans="1:11" x14ac:dyDescent="0.2">
      <c r="A29" s="9">
        <v>24</v>
      </c>
      <c r="B29" s="41"/>
      <c r="C29" s="42" t="str">
        <f t="shared" si="0"/>
        <v/>
      </c>
      <c r="H29" s="52" t="str">
        <f t="shared" si="1"/>
        <v/>
      </c>
      <c r="I29" s="51" t="str">
        <f t="shared" si="2"/>
        <v/>
      </c>
      <c r="J29" s="52" t="str">
        <f t="shared" si="3"/>
        <v/>
      </c>
      <c r="K29" s="52" t="str">
        <f t="shared" si="4"/>
        <v/>
      </c>
    </row>
    <row r="30" spans="1:11" x14ac:dyDescent="0.2">
      <c r="A30" s="9">
        <v>25</v>
      </c>
      <c r="B30" s="41"/>
      <c r="C30" s="42" t="str">
        <f t="shared" si="0"/>
        <v/>
      </c>
      <c r="H30" s="52" t="str">
        <f t="shared" si="1"/>
        <v/>
      </c>
      <c r="I30" s="51" t="str">
        <f t="shared" si="2"/>
        <v/>
      </c>
      <c r="J30" s="52" t="str">
        <f t="shared" si="3"/>
        <v/>
      </c>
      <c r="K30" s="52" t="str">
        <f t="shared" si="4"/>
        <v/>
      </c>
    </row>
  </sheetData>
  <mergeCells count="4">
    <mergeCell ref="A1:C1"/>
    <mergeCell ref="A2:B2"/>
    <mergeCell ref="A4:C4"/>
    <mergeCell ref="H4:K4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35"/>
  <sheetViews>
    <sheetView tabSelected="1" zoomScale="80" zoomScaleNormal="80" zoomScalePageLayoutView="80" workbookViewId="0">
      <selection activeCell="O7" sqref="O7"/>
    </sheetView>
  </sheetViews>
  <sheetFormatPr defaultColWidth="8.85546875" defaultRowHeight="14.25" x14ac:dyDescent="0.2"/>
  <cols>
    <col min="1" max="1" width="2.7109375" style="9" customWidth="1"/>
    <col min="2" max="4" width="14.42578125" style="9" customWidth="1"/>
    <col min="5" max="5" width="20" style="9" customWidth="1"/>
    <col min="6" max="8" width="14.42578125" style="9" customWidth="1"/>
    <col min="9" max="9" width="21.140625" style="9" customWidth="1"/>
    <col min="10" max="10" width="8.85546875" style="9"/>
    <col min="11" max="11" width="25.85546875" style="9" customWidth="1"/>
    <col min="12" max="12" width="8.85546875" style="9" customWidth="1"/>
    <col min="13" max="13" width="7.140625" style="9" customWidth="1"/>
    <col min="14" max="14" width="24.42578125" style="9" customWidth="1"/>
    <col min="15" max="16" width="8.85546875" style="9"/>
    <col min="17" max="17" width="41.7109375" style="9" bestFit="1" customWidth="1"/>
    <col min="18" max="16384" width="8.85546875" style="9"/>
  </cols>
  <sheetData>
    <row r="1" spans="2:18" ht="23.25" thickBot="1" x14ac:dyDescent="0.35">
      <c r="B1" s="66" t="s">
        <v>55</v>
      </c>
      <c r="C1" s="66"/>
      <c r="D1" s="66"/>
      <c r="E1" s="66"/>
      <c r="F1" s="66"/>
      <c r="G1" s="66"/>
      <c r="H1" s="66"/>
      <c r="I1" s="66"/>
      <c r="K1" s="67" t="s">
        <v>54</v>
      </c>
      <c r="L1" s="67"/>
      <c r="M1" s="67"/>
      <c r="N1" s="67"/>
      <c r="O1" s="67"/>
      <c r="Q1" s="68" t="s">
        <v>32</v>
      </c>
      <c r="R1" s="69"/>
    </row>
    <row r="2" spans="2:18" ht="20.25" customHeight="1" thickBot="1" x14ac:dyDescent="0.3">
      <c r="B2" s="14" t="s">
        <v>12</v>
      </c>
      <c r="C2" s="14" t="s">
        <v>0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7</v>
      </c>
      <c r="K2" s="70" t="s">
        <v>8</v>
      </c>
      <c r="L2" s="71"/>
      <c r="M2" s="71"/>
      <c r="N2" s="72"/>
      <c r="O2" s="10">
        <f>SUM(C3:C21)</f>
        <v>165</v>
      </c>
      <c r="Q2" s="3" t="s">
        <v>33</v>
      </c>
      <c r="R2" s="4"/>
    </row>
    <row r="3" spans="2:18" ht="20.25" customHeight="1" thickBot="1" x14ac:dyDescent="0.3">
      <c r="B3" s="10">
        <v>1</v>
      </c>
      <c r="C3" s="15">
        <v>15</v>
      </c>
      <c r="D3" s="15">
        <v>30</v>
      </c>
      <c r="E3" s="49">
        <f t="shared" ref="E3:E13" si="0">IF(D3&lt;&gt;"",C3/D3,"")</f>
        <v>0.5</v>
      </c>
      <c r="F3" s="47">
        <f t="shared" ref="F3" si="1">IF(D3&lt;&gt;"",$O$4,"")</f>
        <v>0.52100000000000002</v>
      </c>
      <c r="G3" s="47">
        <f t="shared" ref="G3" si="2">IF(D3&lt;&gt;"",$O$9,"")</f>
        <v>0.52100000000000002</v>
      </c>
      <c r="H3" s="47">
        <f t="shared" ref="H3" si="3">IF(D3&lt;&gt;"",$O$10,"")</f>
        <v>0.52100000000000002</v>
      </c>
      <c r="I3" s="28" t="str">
        <f>IF(D3&lt;&gt;"",IF(E3&gt;G3,"Above",IF(E3&lt;H3,"Below","")),"")</f>
        <v>Below</v>
      </c>
      <c r="K3" s="70" t="s">
        <v>9</v>
      </c>
      <c r="L3" s="71"/>
      <c r="M3" s="71"/>
      <c r="N3" s="72"/>
      <c r="O3" s="10">
        <f>SUM(D3:D21)</f>
        <v>317</v>
      </c>
      <c r="Q3" s="3" t="s">
        <v>48</v>
      </c>
      <c r="R3" s="3"/>
    </row>
    <row r="4" spans="2:18" ht="20.25" customHeight="1" thickBot="1" x14ac:dyDescent="0.3">
      <c r="B4" s="10">
        <v>2</v>
      </c>
      <c r="C4" s="15">
        <v>18</v>
      </c>
      <c r="D4" s="15">
        <v>25</v>
      </c>
      <c r="E4" s="49">
        <f t="shared" si="0"/>
        <v>0.72</v>
      </c>
      <c r="F4" s="47">
        <f t="shared" ref="F4:F21" si="4">IF(D4&lt;&gt;"",$O$4,"")</f>
        <v>0.52100000000000002</v>
      </c>
      <c r="G4" s="47">
        <f t="shared" ref="G4:G21" si="5">IF(D4&lt;&gt;"",$O$9,"")</f>
        <v>0.52100000000000002</v>
      </c>
      <c r="H4" s="47">
        <f t="shared" ref="H4:H21" si="6">IF(D4&lt;&gt;"",$O$10,"")</f>
        <v>0.52100000000000002</v>
      </c>
      <c r="I4" s="28" t="str">
        <f t="shared" ref="I4:I21" si="7">IF(D4&lt;&gt;"",IF(E4&gt;G4,"Above",IF(E4&lt;H4,"Below","")),"")</f>
        <v>Above</v>
      </c>
      <c r="K4" s="76" t="s">
        <v>10</v>
      </c>
      <c r="L4" s="76"/>
      <c r="M4" s="76"/>
      <c r="N4" s="76"/>
      <c r="O4" s="10">
        <f>O2/O3</f>
        <v>0.52050473186119905</v>
      </c>
      <c r="Q4" s="3" t="s">
        <v>49</v>
      </c>
      <c r="R4" s="5"/>
    </row>
    <row r="5" spans="2:18" ht="20.25" customHeight="1" thickBot="1" x14ac:dyDescent="0.3">
      <c r="B5" s="10">
        <v>3</v>
      </c>
      <c r="C5" s="15">
        <v>12</v>
      </c>
      <c r="D5" s="15">
        <v>35</v>
      </c>
      <c r="E5" s="49">
        <f t="shared" si="0"/>
        <v>0.34289999999999998</v>
      </c>
      <c r="F5" s="47">
        <f t="shared" si="4"/>
        <v>0.52100000000000002</v>
      </c>
      <c r="G5" s="47">
        <f t="shared" si="5"/>
        <v>0.52100000000000002</v>
      </c>
      <c r="H5" s="47">
        <f t="shared" si="6"/>
        <v>0.52100000000000002</v>
      </c>
      <c r="I5" s="28" t="str">
        <f t="shared" si="7"/>
        <v>Below</v>
      </c>
      <c r="K5" s="77" t="s">
        <v>11</v>
      </c>
      <c r="L5" s="78"/>
      <c r="M5" s="78"/>
      <c r="N5" s="79"/>
      <c r="O5" s="11">
        <f>SQRT(O4*(1-O4)/AVERAGE(D3:D21))</f>
        <v>8.8730897170373094E-2</v>
      </c>
      <c r="Q5" s="3" t="s">
        <v>50</v>
      </c>
      <c r="R5" s="6"/>
    </row>
    <row r="6" spans="2:18" ht="20.25" customHeight="1" thickBot="1" x14ac:dyDescent="0.25">
      <c r="B6" s="10">
        <v>4</v>
      </c>
      <c r="C6" s="15">
        <v>17</v>
      </c>
      <c r="D6" s="15">
        <v>32</v>
      </c>
      <c r="E6" s="49">
        <f t="shared" si="0"/>
        <v>0.53129999999999999</v>
      </c>
      <c r="F6" s="47">
        <f t="shared" si="4"/>
        <v>0.52100000000000002</v>
      </c>
      <c r="G6" s="47">
        <f t="shared" si="5"/>
        <v>0.52100000000000002</v>
      </c>
      <c r="H6" s="47">
        <f t="shared" si="6"/>
        <v>0.52100000000000002</v>
      </c>
      <c r="I6" s="28" t="str">
        <f t="shared" si="7"/>
        <v>Above</v>
      </c>
      <c r="K6" s="17"/>
      <c r="L6" s="17"/>
      <c r="M6" s="17"/>
      <c r="N6" s="17"/>
      <c r="O6" s="12"/>
      <c r="Q6" s="3" t="s">
        <v>51</v>
      </c>
      <c r="R6" s="7"/>
    </row>
    <row r="7" spans="2:18" ht="20.25" customHeight="1" thickBot="1" x14ac:dyDescent="0.3">
      <c r="B7" s="10">
        <v>5</v>
      </c>
      <c r="C7" s="15">
        <v>29</v>
      </c>
      <c r="D7" s="15">
        <v>38</v>
      </c>
      <c r="E7" s="49">
        <f t="shared" si="0"/>
        <v>0.76319999999999999</v>
      </c>
      <c r="F7" s="47">
        <f t="shared" si="4"/>
        <v>0.52100000000000002</v>
      </c>
      <c r="G7" s="47">
        <f t="shared" si="5"/>
        <v>0.52100000000000002</v>
      </c>
      <c r="H7" s="47">
        <f t="shared" si="6"/>
        <v>0.52100000000000002</v>
      </c>
      <c r="I7" s="28" t="str">
        <f t="shared" si="7"/>
        <v>Above</v>
      </c>
      <c r="K7" s="76" t="s">
        <v>6</v>
      </c>
      <c r="L7" s="76"/>
      <c r="M7" s="76"/>
      <c r="N7" s="76"/>
      <c r="O7" s="60"/>
      <c r="Q7" s="3" t="s">
        <v>52</v>
      </c>
      <c r="R7" s="8"/>
    </row>
    <row r="8" spans="2:18" ht="20.25" customHeight="1" x14ac:dyDescent="0.25">
      <c r="B8" s="10">
        <v>6</v>
      </c>
      <c r="C8" s="15">
        <v>2</v>
      </c>
      <c r="D8" s="15">
        <v>29</v>
      </c>
      <c r="E8" s="49">
        <f t="shared" si="0"/>
        <v>6.9000000000000006E-2</v>
      </c>
      <c r="F8" s="47">
        <f t="shared" si="4"/>
        <v>0.52100000000000002</v>
      </c>
      <c r="G8" s="47">
        <f t="shared" si="5"/>
        <v>0.52100000000000002</v>
      </c>
      <c r="H8" s="47">
        <f t="shared" si="6"/>
        <v>0.52100000000000002</v>
      </c>
      <c r="I8" s="28" t="str">
        <f t="shared" si="7"/>
        <v>Below</v>
      </c>
      <c r="K8" s="73" t="s">
        <v>53</v>
      </c>
      <c r="L8" s="74"/>
      <c r="M8" s="74"/>
      <c r="N8" s="75"/>
      <c r="O8" s="50">
        <f>1-(_xlfn.NORM.DIST(O7,0,1,TRUE)-_xlfn.NORM.DIST(-1*O7,0,1,TRUE))</f>
        <v>1</v>
      </c>
    </row>
    <row r="9" spans="2:18" ht="20.25" customHeight="1" x14ac:dyDescent="0.25">
      <c r="B9" s="10">
        <v>7</v>
      </c>
      <c r="C9" s="15">
        <v>16</v>
      </c>
      <c r="D9" s="15">
        <v>28</v>
      </c>
      <c r="E9" s="49">
        <f t="shared" si="0"/>
        <v>0.57140000000000002</v>
      </c>
      <c r="F9" s="47">
        <f t="shared" si="4"/>
        <v>0.52100000000000002</v>
      </c>
      <c r="G9" s="47">
        <f t="shared" si="5"/>
        <v>0.52100000000000002</v>
      </c>
      <c r="H9" s="47">
        <f t="shared" si="6"/>
        <v>0.52100000000000002</v>
      </c>
      <c r="I9" s="28" t="str">
        <f t="shared" si="7"/>
        <v>Above</v>
      </c>
      <c r="K9" s="76" t="s">
        <v>4</v>
      </c>
      <c r="L9" s="76"/>
      <c r="M9" s="76"/>
      <c r="N9" s="76"/>
      <c r="O9" s="45">
        <f>O4+O5*O7</f>
        <v>0.52049999999999996</v>
      </c>
    </row>
    <row r="10" spans="2:18" ht="20.25" customHeight="1" x14ac:dyDescent="0.25">
      <c r="B10" s="10">
        <v>8</v>
      </c>
      <c r="C10" s="15">
        <v>24</v>
      </c>
      <c r="D10" s="15">
        <v>40</v>
      </c>
      <c r="E10" s="49">
        <f t="shared" si="0"/>
        <v>0.6</v>
      </c>
      <c r="F10" s="47">
        <f t="shared" si="4"/>
        <v>0.52100000000000002</v>
      </c>
      <c r="G10" s="47">
        <f t="shared" si="5"/>
        <v>0.52100000000000002</v>
      </c>
      <c r="H10" s="47">
        <f t="shared" si="6"/>
        <v>0.52100000000000002</v>
      </c>
      <c r="I10" s="28" t="str">
        <f t="shared" si="7"/>
        <v>Above</v>
      </c>
      <c r="K10" s="76" t="s">
        <v>5</v>
      </c>
      <c r="L10" s="76"/>
      <c r="M10" s="76"/>
      <c r="N10" s="76"/>
      <c r="O10" s="45">
        <f>O4-O5*O7</f>
        <v>0.52049999999999996</v>
      </c>
    </row>
    <row r="11" spans="2:18" ht="20.25" customHeight="1" x14ac:dyDescent="0.2">
      <c r="B11" s="10">
        <v>9</v>
      </c>
      <c r="C11" s="15">
        <v>13</v>
      </c>
      <c r="D11" s="15">
        <v>27</v>
      </c>
      <c r="E11" s="49">
        <f t="shared" si="0"/>
        <v>0.48149999999999998</v>
      </c>
      <c r="F11" s="47">
        <f t="shared" si="4"/>
        <v>0.52100000000000002</v>
      </c>
      <c r="G11" s="47">
        <f t="shared" si="5"/>
        <v>0.52100000000000002</v>
      </c>
      <c r="H11" s="47">
        <f t="shared" si="6"/>
        <v>0.52100000000000002</v>
      </c>
      <c r="I11" s="28" t="str">
        <f t="shared" si="7"/>
        <v>Below</v>
      </c>
      <c r="K11" s="13"/>
      <c r="L11" s="13"/>
      <c r="M11" s="13"/>
      <c r="N11" s="13"/>
      <c r="O11" s="13"/>
    </row>
    <row r="12" spans="2:18" s="13" customFormat="1" ht="20.25" customHeight="1" x14ac:dyDescent="0.2">
      <c r="B12" s="10">
        <v>10</v>
      </c>
      <c r="C12" s="15">
        <v>19</v>
      </c>
      <c r="D12" s="15">
        <v>33</v>
      </c>
      <c r="E12" s="49">
        <f t="shared" si="0"/>
        <v>0.57579999999999998</v>
      </c>
      <c r="F12" s="47">
        <f t="shared" si="4"/>
        <v>0.52100000000000002</v>
      </c>
      <c r="G12" s="47">
        <f t="shared" si="5"/>
        <v>0.52100000000000002</v>
      </c>
      <c r="H12" s="47">
        <f t="shared" si="6"/>
        <v>0.52100000000000002</v>
      </c>
      <c r="I12" s="28" t="str">
        <f t="shared" si="7"/>
        <v>Above</v>
      </c>
      <c r="K12" s="9"/>
      <c r="L12" s="9"/>
      <c r="M12" s="9"/>
      <c r="N12" s="9"/>
      <c r="O12" s="9"/>
    </row>
    <row r="13" spans="2:18" ht="20.25" customHeight="1" x14ac:dyDescent="0.2">
      <c r="B13" s="10">
        <v>11</v>
      </c>
      <c r="C13" s="15"/>
      <c r="D13" s="15"/>
      <c r="E13" s="49" t="str">
        <f t="shared" si="0"/>
        <v/>
      </c>
      <c r="F13" s="47" t="str">
        <f t="shared" si="4"/>
        <v/>
      </c>
      <c r="G13" s="47" t="str">
        <f t="shared" si="5"/>
        <v/>
      </c>
      <c r="H13" s="47" t="str">
        <f t="shared" si="6"/>
        <v/>
      </c>
      <c r="I13" s="28" t="str">
        <f t="shared" si="7"/>
        <v/>
      </c>
    </row>
    <row r="14" spans="2:18" ht="20.25" customHeight="1" x14ac:dyDescent="0.2">
      <c r="B14" s="10">
        <v>12</v>
      </c>
      <c r="C14" s="15"/>
      <c r="D14" s="15"/>
      <c r="E14" s="49" t="str">
        <f>IF(D14&lt;&gt;"",C14/D14,"")</f>
        <v/>
      </c>
      <c r="F14" s="47" t="str">
        <f t="shared" si="4"/>
        <v/>
      </c>
      <c r="G14" s="47" t="str">
        <f t="shared" si="5"/>
        <v/>
      </c>
      <c r="H14" s="47" t="str">
        <f t="shared" si="6"/>
        <v/>
      </c>
      <c r="I14" s="28" t="str">
        <f t="shared" si="7"/>
        <v/>
      </c>
    </row>
    <row r="15" spans="2:18" ht="20.25" customHeight="1" x14ac:dyDescent="0.2">
      <c r="B15" s="10">
        <v>13</v>
      </c>
      <c r="C15" s="15"/>
      <c r="D15" s="15"/>
      <c r="E15" s="49" t="str">
        <f t="shared" ref="E15:E21" si="8">IF(D15&lt;&gt;"",C15/D15,"")</f>
        <v/>
      </c>
      <c r="F15" s="47" t="str">
        <f t="shared" si="4"/>
        <v/>
      </c>
      <c r="G15" s="47" t="str">
        <f t="shared" si="5"/>
        <v/>
      </c>
      <c r="H15" s="47" t="str">
        <f t="shared" si="6"/>
        <v/>
      </c>
      <c r="I15" s="28" t="str">
        <f t="shared" si="7"/>
        <v/>
      </c>
    </row>
    <row r="16" spans="2:18" ht="20.25" customHeight="1" x14ac:dyDescent="0.2">
      <c r="B16" s="10">
        <v>14</v>
      </c>
      <c r="C16" s="15"/>
      <c r="D16" s="15"/>
      <c r="E16" s="49" t="str">
        <f t="shared" si="8"/>
        <v/>
      </c>
      <c r="F16" s="47" t="str">
        <f t="shared" si="4"/>
        <v/>
      </c>
      <c r="G16" s="47" t="str">
        <f t="shared" si="5"/>
        <v/>
      </c>
      <c r="H16" s="47" t="str">
        <f t="shared" si="6"/>
        <v/>
      </c>
      <c r="I16" s="28" t="str">
        <f t="shared" si="7"/>
        <v/>
      </c>
    </row>
    <row r="17" spans="2:9" ht="20.25" customHeight="1" x14ac:dyDescent="0.2">
      <c r="B17" s="10">
        <v>15</v>
      </c>
      <c r="C17" s="15"/>
      <c r="D17" s="15"/>
      <c r="E17" s="45" t="str">
        <f t="shared" si="8"/>
        <v/>
      </c>
      <c r="F17" s="46" t="str">
        <f t="shared" si="4"/>
        <v/>
      </c>
      <c r="G17" s="46" t="str">
        <f t="shared" si="5"/>
        <v/>
      </c>
      <c r="H17" s="46" t="str">
        <f t="shared" si="6"/>
        <v/>
      </c>
      <c r="I17" s="28" t="str">
        <f t="shared" si="7"/>
        <v/>
      </c>
    </row>
    <row r="18" spans="2:9" ht="20.25" customHeight="1" x14ac:dyDescent="0.2">
      <c r="B18" s="10">
        <v>16</v>
      </c>
      <c r="C18" s="15"/>
      <c r="D18" s="15"/>
      <c r="E18" s="45" t="str">
        <f t="shared" si="8"/>
        <v/>
      </c>
      <c r="F18" s="46" t="str">
        <f t="shared" si="4"/>
        <v/>
      </c>
      <c r="G18" s="46" t="str">
        <f t="shared" si="5"/>
        <v/>
      </c>
      <c r="H18" s="46" t="str">
        <f t="shared" si="6"/>
        <v/>
      </c>
      <c r="I18" s="28" t="str">
        <f t="shared" si="7"/>
        <v/>
      </c>
    </row>
    <row r="19" spans="2:9" ht="20.25" customHeight="1" x14ac:dyDescent="0.2">
      <c r="B19" s="10">
        <v>17</v>
      </c>
      <c r="C19" s="15"/>
      <c r="D19" s="15"/>
      <c r="E19" s="45" t="str">
        <f t="shared" si="8"/>
        <v/>
      </c>
      <c r="F19" s="46" t="str">
        <f t="shared" si="4"/>
        <v/>
      </c>
      <c r="G19" s="46" t="str">
        <f t="shared" si="5"/>
        <v/>
      </c>
      <c r="H19" s="46" t="str">
        <f t="shared" si="6"/>
        <v/>
      </c>
      <c r="I19" s="28" t="str">
        <f t="shared" si="7"/>
        <v/>
      </c>
    </row>
    <row r="20" spans="2:9" ht="20.25" customHeight="1" x14ac:dyDescent="0.2">
      <c r="B20" s="10">
        <v>18</v>
      </c>
      <c r="C20" s="15"/>
      <c r="D20" s="15"/>
      <c r="E20" s="45" t="str">
        <f t="shared" si="8"/>
        <v/>
      </c>
      <c r="F20" s="46" t="str">
        <f t="shared" si="4"/>
        <v/>
      </c>
      <c r="G20" s="46" t="str">
        <f t="shared" si="5"/>
        <v/>
      </c>
      <c r="H20" s="46" t="str">
        <f t="shared" si="6"/>
        <v/>
      </c>
      <c r="I20" s="28" t="str">
        <f t="shared" si="7"/>
        <v/>
      </c>
    </row>
    <row r="21" spans="2:9" ht="20.25" customHeight="1" x14ac:dyDescent="0.2">
      <c r="B21" s="10">
        <v>19</v>
      </c>
      <c r="C21" s="15"/>
      <c r="D21" s="15"/>
      <c r="E21" s="45" t="str">
        <f t="shared" si="8"/>
        <v/>
      </c>
      <c r="F21" s="46" t="str">
        <f t="shared" si="4"/>
        <v/>
      </c>
      <c r="G21" s="46" t="str">
        <f t="shared" si="5"/>
        <v/>
      </c>
      <c r="H21" s="46" t="str">
        <f t="shared" si="6"/>
        <v/>
      </c>
      <c r="I21" s="28" t="str">
        <f t="shared" si="7"/>
        <v/>
      </c>
    </row>
    <row r="22" spans="2:9" ht="21" customHeight="1" x14ac:dyDescent="0.2"/>
    <row r="23" spans="2:9" ht="21" customHeight="1" x14ac:dyDescent="0.2"/>
    <row r="24" spans="2:9" ht="21" customHeight="1" x14ac:dyDescent="0.2"/>
    <row r="25" spans="2:9" ht="21" customHeight="1" x14ac:dyDescent="0.2"/>
    <row r="26" spans="2:9" ht="21" customHeight="1" x14ac:dyDescent="0.2"/>
    <row r="27" spans="2:9" ht="21" customHeight="1" x14ac:dyDescent="0.2"/>
    <row r="28" spans="2:9" ht="21" customHeight="1" x14ac:dyDescent="0.2"/>
    <row r="29" spans="2:9" ht="21" customHeight="1" x14ac:dyDescent="0.2"/>
    <row r="30" spans="2:9" ht="21" customHeight="1" x14ac:dyDescent="0.2"/>
    <row r="31" spans="2:9" ht="21" customHeight="1" x14ac:dyDescent="0.2"/>
    <row r="32" spans="2:9" ht="21" customHeight="1" x14ac:dyDescent="0.2"/>
    <row r="33" spans="5:5" ht="21" customHeight="1" x14ac:dyDescent="0.2"/>
    <row r="34" spans="5:5" ht="21" customHeight="1" x14ac:dyDescent="0.2"/>
    <row r="35" spans="5:5" x14ac:dyDescent="0.2">
      <c r="E35" s="16"/>
    </row>
  </sheetData>
  <mergeCells count="11">
    <mergeCell ref="K8:N8"/>
    <mergeCell ref="K10:N10"/>
    <mergeCell ref="K5:N5"/>
    <mergeCell ref="K4:N4"/>
    <mergeCell ref="K7:N7"/>
    <mergeCell ref="K9:N9"/>
    <mergeCell ref="B1:I1"/>
    <mergeCell ref="K1:O1"/>
    <mergeCell ref="Q1:R1"/>
    <mergeCell ref="K2:N2"/>
    <mergeCell ref="K3:N3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5"/>
  <sheetViews>
    <sheetView zoomScale="80" zoomScaleNormal="80" zoomScalePageLayoutView="80" workbookViewId="0">
      <selection activeCell="O8" sqref="O8"/>
    </sheetView>
  </sheetViews>
  <sheetFormatPr defaultColWidth="8.85546875" defaultRowHeight="14.25" x14ac:dyDescent="0.2"/>
  <cols>
    <col min="1" max="1" width="2.7109375" style="9" customWidth="1"/>
    <col min="2" max="4" width="14.42578125" style="9" customWidth="1"/>
    <col min="5" max="5" width="20" style="9" customWidth="1"/>
    <col min="6" max="8" width="14.42578125" style="9" customWidth="1"/>
    <col min="9" max="9" width="21.140625" style="9" customWidth="1"/>
    <col min="10" max="10" width="8.85546875" style="9"/>
    <col min="11" max="11" width="25.85546875" style="9" customWidth="1"/>
    <col min="12" max="12" width="8.85546875" style="9" customWidth="1"/>
    <col min="13" max="13" width="7.140625" style="9" customWidth="1"/>
    <col min="14" max="14" width="24.42578125" style="9" customWidth="1"/>
    <col min="15" max="15" width="9.85546875" style="9" bestFit="1" customWidth="1"/>
    <col min="16" max="16" width="8.85546875" style="9"/>
    <col min="17" max="17" width="41.7109375" style="9" bestFit="1" customWidth="1"/>
    <col min="18" max="16384" width="8.85546875" style="9"/>
  </cols>
  <sheetData>
    <row r="1" spans="2:18" ht="23.25" thickBot="1" x14ac:dyDescent="0.35">
      <c r="B1" s="66" t="s">
        <v>55</v>
      </c>
      <c r="C1" s="66"/>
      <c r="D1" s="66"/>
      <c r="E1" s="66"/>
      <c r="F1" s="66"/>
      <c r="G1" s="66"/>
      <c r="H1" s="66"/>
      <c r="I1" s="66"/>
      <c r="K1" s="67" t="s">
        <v>54</v>
      </c>
      <c r="L1" s="67"/>
      <c r="M1" s="67"/>
      <c r="N1" s="67"/>
      <c r="O1" s="67"/>
      <c r="Q1" s="68" t="s">
        <v>32</v>
      </c>
      <c r="R1" s="69"/>
    </row>
    <row r="2" spans="2:18" ht="20.25" customHeight="1" thickBot="1" x14ac:dyDescent="0.3">
      <c r="B2" s="14" t="s">
        <v>12</v>
      </c>
      <c r="C2" s="14" t="s">
        <v>0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7</v>
      </c>
      <c r="K2" s="70" t="s">
        <v>8</v>
      </c>
      <c r="L2" s="71"/>
      <c r="M2" s="71"/>
      <c r="N2" s="72"/>
      <c r="O2" s="10">
        <f>SUM(C3:C21)</f>
        <v>165</v>
      </c>
      <c r="Q2" s="3" t="s">
        <v>33</v>
      </c>
      <c r="R2" s="4"/>
    </row>
    <row r="3" spans="2:18" ht="20.25" customHeight="1" thickBot="1" x14ac:dyDescent="0.3">
      <c r="B3" s="10">
        <v>1</v>
      </c>
      <c r="C3" s="15">
        <v>15</v>
      </c>
      <c r="D3" s="15">
        <v>30</v>
      </c>
      <c r="E3" s="49">
        <f t="shared" ref="E3:E13" si="0">IF(D3&lt;&gt;"",C3/D3,"")</f>
        <v>0.5</v>
      </c>
      <c r="F3" s="47">
        <f t="shared" ref="F3:F21" si="1">IF(D3&lt;&gt;"",$O$4,"")</f>
        <v>0.52100000000000002</v>
      </c>
      <c r="G3" s="47">
        <f t="shared" ref="G3:G21" si="2">IF(D3&lt;&gt;"",$O$10,"")</f>
        <v>0.95399999999999996</v>
      </c>
      <c r="H3" s="47">
        <f t="shared" ref="H3:H21" si="3">IF(D3&lt;&gt;"",$O$11,"")</f>
        <v>8.6999999999999994E-2</v>
      </c>
      <c r="I3" s="28" t="str">
        <f>IF(D3&lt;&gt;"",IF(E3&gt;G3,"Above",IF(E3&lt;H3,"Below","")),"")</f>
        <v/>
      </c>
      <c r="K3" s="70" t="s">
        <v>9</v>
      </c>
      <c r="L3" s="71"/>
      <c r="M3" s="71"/>
      <c r="N3" s="72"/>
      <c r="O3" s="10">
        <f>SUM(D3:D21)</f>
        <v>317</v>
      </c>
      <c r="Q3" s="3" t="s">
        <v>48</v>
      </c>
      <c r="R3" s="3"/>
    </row>
    <row r="4" spans="2:18" ht="20.25" customHeight="1" thickBot="1" x14ac:dyDescent="0.3">
      <c r="B4" s="10">
        <v>2</v>
      </c>
      <c r="C4" s="15">
        <v>18</v>
      </c>
      <c r="D4" s="15">
        <v>25</v>
      </c>
      <c r="E4" s="49">
        <f t="shared" si="0"/>
        <v>0.72</v>
      </c>
      <c r="F4" s="47">
        <f t="shared" si="1"/>
        <v>0.52100000000000002</v>
      </c>
      <c r="G4" s="47">
        <f t="shared" si="2"/>
        <v>0.95399999999999996</v>
      </c>
      <c r="H4" s="47">
        <f t="shared" si="3"/>
        <v>8.6999999999999994E-2</v>
      </c>
      <c r="I4" s="28" t="str">
        <f t="shared" ref="I4:I21" si="4">IF(D4&lt;&gt;"",IF(E4&gt;G4,"Above",IF(E4&lt;H4,"Below","")),"")</f>
        <v/>
      </c>
      <c r="K4" s="76" t="s">
        <v>10</v>
      </c>
      <c r="L4" s="76"/>
      <c r="M4" s="76"/>
      <c r="N4" s="76"/>
      <c r="O4" s="10">
        <f>O2/O3</f>
        <v>0.52050473186119905</v>
      </c>
      <c r="Q4" s="3" t="s">
        <v>49</v>
      </c>
      <c r="R4" s="5"/>
    </row>
    <row r="5" spans="2:18" ht="20.25" customHeight="1" thickBot="1" x14ac:dyDescent="0.3">
      <c r="B5" s="10">
        <v>3</v>
      </c>
      <c r="C5" s="15">
        <v>12</v>
      </c>
      <c r="D5" s="15">
        <v>35</v>
      </c>
      <c r="E5" s="49">
        <f t="shared" si="0"/>
        <v>0.34289999999999998</v>
      </c>
      <c r="F5" s="47">
        <f t="shared" si="1"/>
        <v>0.52100000000000002</v>
      </c>
      <c r="G5" s="47">
        <f t="shared" si="2"/>
        <v>0.95399999999999996</v>
      </c>
      <c r="H5" s="47">
        <f t="shared" si="3"/>
        <v>8.6999999999999994E-2</v>
      </c>
      <c r="I5" s="28" t="str">
        <f t="shared" si="4"/>
        <v/>
      </c>
      <c r="K5" s="77" t="s">
        <v>11</v>
      </c>
      <c r="L5" s="78"/>
      <c r="M5" s="78"/>
      <c r="N5" s="79"/>
      <c r="O5" s="11">
        <f>SQRT(O4*(1-O4)/AVERAGE(D3:D21))</f>
        <v>8.8730897170373094E-2</v>
      </c>
      <c r="Q5" s="3" t="s">
        <v>50</v>
      </c>
      <c r="R5" s="6"/>
    </row>
    <row r="6" spans="2:18" ht="20.25" customHeight="1" thickBot="1" x14ac:dyDescent="0.25">
      <c r="B6" s="10">
        <v>4</v>
      </c>
      <c r="C6" s="15">
        <v>17</v>
      </c>
      <c r="D6" s="15">
        <v>32</v>
      </c>
      <c r="E6" s="49">
        <f t="shared" si="0"/>
        <v>0.53129999999999999</v>
      </c>
      <c r="F6" s="47">
        <f t="shared" si="1"/>
        <v>0.52100000000000002</v>
      </c>
      <c r="G6" s="47">
        <f t="shared" si="2"/>
        <v>0.95399999999999996</v>
      </c>
      <c r="H6" s="47">
        <f t="shared" si="3"/>
        <v>8.6999999999999994E-2</v>
      </c>
      <c r="I6" s="28" t="str">
        <f t="shared" si="4"/>
        <v/>
      </c>
      <c r="K6" s="17"/>
      <c r="L6" s="17"/>
      <c r="M6" s="17"/>
      <c r="N6" s="17"/>
      <c r="O6" s="12"/>
      <c r="Q6" s="3" t="s">
        <v>51</v>
      </c>
      <c r="R6" s="7"/>
    </row>
    <row r="7" spans="2:18" ht="20.25" customHeight="1" thickBot="1" x14ac:dyDescent="0.3">
      <c r="B7" s="10">
        <v>5</v>
      </c>
      <c r="C7" s="15">
        <v>29</v>
      </c>
      <c r="D7" s="15">
        <v>38</v>
      </c>
      <c r="E7" s="49">
        <f t="shared" si="0"/>
        <v>0.76319999999999999</v>
      </c>
      <c r="F7" s="47">
        <f t="shared" si="1"/>
        <v>0.52100000000000002</v>
      </c>
      <c r="G7" s="47">
        <f t="shared" si="2"/>
        <v>0.95399999999999996</v>
      </c>
      <c r="H7" s="47">
        <f t="shared" si="3"/>
        <v>8.6999999999999994E-2</v>
      </c>
      <c r="I7" s="28" t="str">
        <f t="shared" si="4"/>
        <v/>
      </c>
      <c r="K7" s="76" t="s">
        <v>65</v>
      </c>
      <c r="L7" s="76"/>
      <c r="M7" s="76"/>
      <c r="N7" s="76"/>
      <c r="O7" s="15">
        <v>9.9999999999999995E-7</v>
      </c>
      <c r="Q7" s="3" t="s">
        <v>52</v>
      </c>
      <c r="R7" s="8"/>
    </row>
    <row r="8" spans="2:18" ht="20.25" customHeight="1" x14ac:dyDescent="0.25">
      <c r="B8" s="10">
        <v>6</v>
      </c>
      <c r="C8" s="15">
        <v>2</v>
      </c>
      <c r="D8" s="15">
        <v>29</v>
      </c>
      <c r="E8" s="49">
        <f t="shared" si="0"/>
        <v>6.9000000000000006E-2</v>
      </c>
      <c r="F8" s="47">
        <f t="shared" si="1"/>
        <v>0.52100000000000002</v>
      </c>
      <c r="G8" s="47">
        <f t="shared" si="2"/>
        <v>0.95399999999999996</v>
      </c>
      <c r="H8" s="47">
        <f t="shared" si="3"/>
        <v>8.6999999999999994E-2</v>
      </c>
      <c r="I8" s="28" t="str">
        <f t="shared" si="4"/>
        <v>Below</v>
      </c>
      <c r="K8" s="59"/>
      <c r="L8" s="59"/>
      <c r="M8" s="59"/>
      <c r="N8" s="59" t="s">
        <v>66</v>
      </c>
      <c r="O8" s="56">
        <f>ABS(_xlfn.NORM.INV(O7/2,0,1))</f>
        <v>4.8899999999999997</v>
      </c>
    </row>
    <row r="9" spans="2:18" ht="20.25" customHeight="1" x14ac:dyDescent="0.25">
      <c r="B9" s="10">
        <v>7</v>
      </c>
      <c r="C9" s="15">
        <v>16</v>
      </c>
      <c r="D9" s="15">
        <v>28</v>
      </c>
      <c r="E9" s="49">
        <f t="shared" si="0"/>
        <v>0.57140000000000002</v>
      </c>
      <c r="F9" s="47">
        <f t="shared" si="1"/>
        <v>0.52100000000000002</v>
      </c>
      <c r="G9" s="47">
        <f t="shared" si="2"/>
        <v>0.95399999999999996</v>
      </c>
      <c r="H9" s="47">
        <f t="shared" si="3"/>
        <v>8.6999999999999994E-2</v>
      </c>
      <c r="I9" s="28" t="str">
        <f t="shared" si="4"/>
        <v/>
      </c>
      <c r="K9" s="73" t="s">
        <v>53</v>
      </c>
      <c r="L9" s="74"/>
      <c r="M9" s="74"/>
      <c r="N9" s="75"/>
      <c r="O9" s="50">
        <f>1-(_xlfn.NORM.DIST(O8,0,1,TRUE)-_xlfn.NORM.DIST(-1*O8,0,1,TRUE))</f>
        <v>0</v>
      </c>
    </row>
    <row r="10" spans="2:18" ht="20.25" customHeight="1" x14ac:dyDescent="0.25">
      <c r="B10" s="10">
        <v>8</v>
      </c>
      <c r="C10" s="15">
        <v>24</v>
      </c>
      <c r="D10" s="15">
        <v>40</v>
      </c>
      <c r="E10" s="49">
        <f t="shared" si="0"/>
        <v>0.6</v>
      </c>
      <c r="F10" s="47">
        <f t="shared" si="1"/>
        <v>0.52100000000000002</v>
      </c>
      <c r="G10" s="47">
        <f t="shared" si="2"/>
        <v>0.95399999999999996</v>
      </c>
      <c r="H10" s="47">
        <f t="shared" si="3"/>
        <v>8.6999999999999994E-2</v>
      </c>
      <c r="I10" s="28" t="str">
        <f t="shared" si="4"/>
        <v/>
      </c>
      <c r="K10" s="76" t="s">
        <v>4</v>
      </c>
      <c r="L10" s="76"/>
      <c r="M10" s="76"/>
      <c r="N10" s="76"/>
      <c r="O10" s="45">
        <f>O4+O5*O8</f>
        <v>0.95440000000000003</v>
      </c>
    </row>
    <row r="11" spans="2:18" ht="20.25" customHeight="1" x14ac:dyDescent="0.25">
      <c r="B11" s="10">
        <v>9</v>
      </c>
      <c r="C11" s="15">
        <v>13</v>
      </c>
      <c r="D11" s="15">
        <v>27</v>
      </c>
      <c r="E11" s="49">
        <f t="shared" si="0"/>
        <v>0.48149999999999998</v>
      </c>
      <c r="F11" s="47">
        <f t="shared" si="1"/>
        <v>0.52100000000000002</v>
      </c>
      <c r="G11" s="47">
        <f t="shared" si="2"/>
        <v>0.95399999999999996</v>
      </c>
      <c r="H11" s="47">
        <f t="shared" si="3"/>
        <v>8.6999999999999994E-2</v>
      </c>
      <c r="I11" s="28" t="str">
        <f t="shared" si="4"/>
        <v/>
      </c>
      <c r="K11" s="76" t="s">
        <v>5</v>
      </c>
      <c r="L11" s="76"/>
      <c r="M11" s="76"/>
      <c r="N11" s="76"/>
      <c r="O11" s="45">
        <f>O4-O5*O8</f>
        <v>8.6599999999999996E-2</v>
      </c>
    </row>
    <row r="12" spans="2:18" s="13" customFormat="1" ht="20.25" customHeight="1" x14ac:dyDescent="0.2">
      <c r="B12" s="10">
        <v>10</v>
      </c>
      <c r="C12" s="15">
        <v>19</v>
      </c>
      <c r="D12" s="15">
        <v>33</v>
      </c>
      <c r="E12" s="49">
        <f t="shared" si="0"/>
        <v>0.57579999999999998</v>
      </c>
      <c r="F12" s="47">
        <f t="shared" si="1"/>
        <v>0.52100000000000002</v>
      </c>
      <c r="G12" s="47">
        <f t="shared" si="2"/>
        <v>0.95399999999999996</v>
      </c>
      <c r="H12" s="47">
        <f t="shared" si="3"/>
        <v>8.6999999999999994E-2</v>
      </c>
      <c r="I12" s="28" t="str">
        <f t="shared" si="4"/>
        <v/>
      </c>
    </row>
    <row r="13" spans="2:18" ht="20.25" customHeight="1" x14ac:dyDescent="0.2">
      <c r="B13" s="10">
        <v>11</v>
      </c>
      <c r="C13" s="15"/>
      <c r="D13" s="15"/>
      <c r="E13" s="49" t="str">
        <f t="shared" si="0"/>
        <v/>
      </c>
      <c r="F13" s="47" t="str">
        <f t="shared" si="1"/>
        <v/>
      </c>
      <c r="G13" s="47" t="str">
        <f t="shared" si="2"/>
        <v/>
      </c>
      <c r="H13" s="47" t="str">
        <f t="shared" si="3"/>
        <v/>
      </c>
      <c r="I13" s="28" t="str">
        <f t="shared" si="4"/>
        <v/>
      </c>
    </row>
    <row r="14" spans="2:18" ht="20.25" customHeight="1" x14ac:dyDescent="0.2">
      <c r="B14" s="10">
        <v>12</v>
      </c>
      <c r="C14" s="15"/>
      <c r="D14" s="15"/>
      <c r="E14" s="49" t="str">
        <f>IF(D14&lt;&gt;"",C14/D14,"")</f>
        <v/>
      </c>
      <c r="F14" s="47" t="str">
        <f t="shared" si="1"/>
        <v/>
      </c>
      <c r="G14" s="47" t="str">
        <f t="shared" si="2"/>
        <v/>
      </c>
      <c r="H14" s="47" t="str">
        <f t="shared" si="3"/>
        <v/>
      </c>
      <c r="I14" s="28" t="str">
        <f t="shared" si="4"/>
        <v/>
      </c>
    </row>
    <row r="15" spans="2:18" ht="20.25" customHeight="1" x14ac:dyDescent="0.2">
      <c r="B15" s="10">
        <v>13</v>
      </c>
      <c r="C15" s="15"/>
      <c r="D15" s="15"/>
      <c r="E15" s="49" t="str">
        <f t="shared" ref="E15:E21" si="5">IF(D15&lt;&gt;"",C15/D15,"")</f>
        <v/>
      </c>
      <c r="F15" s="47" t="str">
        <f t="shared" si="1"/>
        <v/>
      </c>
      <c r="G15" s="47" t="str">
        <f t="shared" si="2"/>
        <v/>
      </c>
      <c r="H15" s="47" t="str">
        <f t="shared" si="3"/>
        <v/>
      </c>
      <c r="I15" s="28" t="str">
        <f t="shared" si="4"/>
        <v/>
      </c>
    </row>
    <row r="16" spans="2:18" ht="20.25" customHeight="1" x14ac:dyDescent="0.2">
      <c r="B16" s="10">
        <v>14</v>
      </c>
      <c r="C16" s="15"/>
      <c r="D16" s="15"/>
      <c r="E16" s="49" t="str">
        <f t="shared" si="5"/>
        <v/>
      </c>
      <c r="F16" s="47" t="str">
        <f t="shared" si="1"/>
        <v/>
      </c>
      <c r="G16" s="47" t="str">
        <f t="shared" si="2"/>
        <v/>
      </c>
      <c r="H16" s="47" t="str">
        <f t="shared" si="3"/>
        <v/>
      </c>
      <c r="I16" s="28" t="str">
        <f t="shared" si="4"/>
        <v/>
      </c>
    </row>
    <row r="17" spans="2:9" ht="20.25" customHeight="1" x14ac:dyDescent="0.2">
      <c r="B17" s="10">
        <v>15</v>
      </c>
      <c r="C17" s="15"/>
      <c r="D17" s="15"/>
      <c r="E17" s="45" t="str">
        <f t="shared" si="5"/>
        <v/>
      </c>
      <c r="F17" s="46" t="str">
        <f t="shared" si="1"/>
        <v/>
      </c>
      <c r="G17" s="46" t="str">
        <f t="shared" si="2"/>
        <v/>
      </c>
      <c r="H17" s="46" t="str">
        <f t="shared" si="3"/>
        <v/>
      </c>
      <c r="I17" s="28" t="str">
        <f t="shared" si="4"/>
        <v/>
      </c>
    </row>
    <row r="18" spans="2:9" ht="20.25" customHeight="1" x14ac:dyDescent="0.2">
      <c r="B18" s="10">
        <v>16</v>
      </c>
      <c r="C18" s="15"/>
      <c r="D18" s="15"/>
      <c r="E18" s="45" t="str">
        <f t="shared" si="5"/>
        <v/>
      </c>
      <c r="F18" s="46" t="str">
        <f t="shared" si="1"/>
        <v/>
      </c>
      <c r="G18" s="46" t="str">
        <f t="shared" si="2"/>
        <v/>
      </c>
      <c r="H18" s="46" t="str">
        <f t="shared" si="3"/>
        <v/>
      </c>
      <c r="I18" s="28" t="str">
        <f t="shared" si="4"/>
        <v/>
      </c>
    </row>
    <row r="19" spans="2:9" ht="20.25" customHeight="1" x14ac:dyDescent="0.2">
      <c r="B19" s="10">
        <v>17</v>
      </c>
      <c r="C19" s="15"/>
      <c r="D19" s="15"/>
      <c r="E19" s="45" t="str">
        <f t="shared" si="5"/>
        <v/>
      </c>
      <c r="F19" s="46" t="str">
        <f t="shared" si="1"/>
        <v/>
      </c>
      <c r="G19" s="46" t="str">
        <f t="shared" si="2"/>
        <v/>
      </c>
      <c r="H19" s="46" t="str">
        <f t="shared" si="3"/>
        <v/>
      </c>
      <c r="I19" s="28" t="str">
        <f t="shared" si="4"/>
        <v/>
      </c>
    </row>
    <row r="20" spans="2:9" ht="20.25" customHeight="1" x14ac:dyDescent="0.2">
      <c r="B20" s="10">
        <v>18</v>
      </c>
      <c r="C20" s="15"/>
      <c r="D20" s="15"/>
      <c r="E20" s="45" t="str">
        <f t="shared" si="5"/>
        <v/>
      </c>
      <c r="F20" s="46" t="str">
        <f t="shared" si="1"/>
        <v/>
      </c>
      <c r="G20" s="46" t="str">
        <f t="shared" si="2"/>
        <v/>
      </c>
      <c r="H20" s="46" t="str">
        <f t="shared" si="3"/>
        <v/>
      </c>
      <c r="I20" s="28" t="str">
        <f t="shared" si="4"/>
        <v/>
      </c>
    </row>
    <row r="21" spans="2:9" ht="20.25" customHeight="1" x14ac:dyDescent="0.2">
      <c r="B21" s="10">
        <v>19</v>
      </c>
      <c r="C21" s="15"/>
      <c r="D21" s="15"/>
      <c r="E21" s="45" t="str">
        <f t="shared" si="5"/>
        <v/>
      </c>
      <c r="F21" s="46" t="str">
        <f t="shared" si="1"/>
        <v/>
      </c>
      <c r="G21" s="46" t="str">
        <f t="shared" si="2"/>
        <v/>
      </c>
      <c r="H21" s="46" t="str">
        <f t="shared" si="3"/>
        <v/>
      </c>
      <c r="I21" s="28" t="str">
        <f t="shared" si="4"/>
        <v/>
      </c>
    </row>
    <row r="22" spans="2:9" ht="21" customHeight="1" x14ac:dyDescent="0.2"/>
    <row r="23" spans="2:9" ht="21" customHeight="1" x14ac:dyDescent="0.2"/>
    <row r="24" spans="2:9" ht="21" customHeight="1" x14ac:dyDescent="0.2"/>
    <row r="25" spans="2:9" ht="21" customHeight="1" x14ac:dyDescent="0.2"/>
    <row r="26" spans="2:9" ht="21" customHeight="1" x14ac:dyDescent="0.2"/>
    <row r="27" spans="2:9" ht="21" customHeight="1" x14ac:dyDescent="0.2"/>
    <row r="28" spans="2:9" ht="21" customHeight="1" x14ac:dyDescent="0.2"/>
    <row r="29" spans="2:9" ht="21" customHeight="1" x14ac:dyDescent="0.2"/>
    <row r="30" spans="2:9" ht="21" customHeight="1" x14ac:dyDescent="0.2"/>
    <row r="31" spans="2:9" ht="21" customHeight="1" x14ac:dyDescent="0.2"/>
    <row r="32" spans="2:9" ht="21" customHeight="1" x14ac:dyDescent="0.2"/>
    <row r="33" spans="5:5" ht="21" customHeight="1" x14ac:dyDescent="0.2"/>
    <row r="34" spans="5:5" ht="21" customHeight="1" x14ac:dyDescent="0.2"/>
    <row r="35" spans="5:5" x14ac:dyDescent="0.2">
      <c r="E35" s="16"/>
    </row>
  </sheetData>
  <mergeCells count="11">
    <mergeCell ref="K5:N5"/>
    <mergeCell ref="K7:N7"/>
    <mergeCell ref="K9:N9"/>
    <mergeCell ref="K10:N10"/>
    <mergeCell ref="K11:N11"/>
    <mergeCell ref="K4:N4"/>
    <mergeCell ref="B1:I1"/>
    <mergeCell ref="K1:O1"/>
    <mergeCell ref="Q1:R1"/>
    <mergeCell ref="K2:N2"/>
    <mergeCell ref="K3:N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F26"/>
  <sheetViews>
    <sheetView zoomScale="70" zoomScaleNormal="70" zoomScalePageLayoutView="70" workbookViewId="0">
      <selection activeCell="K35" sqref="K35"/>
    </sheetView>
  </sheetViews>
  <sheetFormatPr defaultColWidth="8.85546875" defaultRowHeight="14.25" x14ac:dyDescent="0.2"/>
  <cols>
    <col min="1" max="1" width="3.85546875" style="9" customWidth="1"/>
    <col min="2" max="14" width="9.28515625" style="9" customWidth="1"/>
    <col min="15" max="15" width="8.85546875" style="9"/>
    <col min="16" max="18" width="13.42578125" style="9" customWidth="1"/>
    <col min="19" max="19" width="8.85546875" style="9"/>
    <col min="20" max="23" width="15" style="9" customWidth="1"/>
    <col min="24" max="24" width="8.85546875" style="9"/>
    <col min="25" max="28" width="12.7109375" style="9" customWidth="1"/>
    <col min="29" max="30" width="8.85546875" style="9"/>
    <col min="31" max="31" width="41.7109375" style="9" bestFit="1" customWidth="1"/>
    <col min="32" max="16384" width="8.85546875" style="9"/>
  </cols>
  <sheetData>
    <row r="1" spans="2:32" ht="23.25" thickBot="1" x14ac:dyDescent="0.35">
      <c r="B1" s="86" t="s">
        <v>36</v>
      </c>
      <c r="C1" s="87"/>
      <c r="D1" s="88"/>
      <c r="AE1" s="68" t="s">
        <v>32</v>
      </c>
      <c r="AF1" s="69"/>
    </row>
    <row r="2" spans="2:32" ht="38.25" customHeight="1" thickBot="1" x14ac:dyDescent="0.3">
      <c r="B2" s="84" t="s">
        <v>26</v>
      </c>
      <c r="C2" s="85"/>
      <c r="D2" s="18">
        <v>3</v>
      </c>
      <c r="AE2" s="3" t="s">
        <v>33</v>
      </c>
      <c r="AF2" s="4"/>
    </row>
    <row r="3" spans="2:32" ht="18" customHeight="1" thickBot="1" x14ac:dyDescent="0.3">
      <c r="P3" s="19"/>
      <c r="Q3" s="12"/>
      <c r="AE3" s="3" t="s">
        <v>48</v>
      </c>
      <c r="AF3" s="3"/>
    </row>
    <row r="4" spans="2:32" ht="56.25" customHeight="1" thickBot="1" x14ac:dyDescent="0.35">
      <c r="B4" s="81" t="s">
        <v>47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3"/>
      <c r="P4" s="81" t="s">
        <v>34</v>
      </c>
      <c r="Q4" s="82"/>
      <c r="R4" s="83"/>
      <c r="T4" s="81" t="s">
        <v>35</v>
      </c>
      <c r="U4" s="82"/>
      <c r="V4" s="82"/>
      <c r="W4" s="83"/>
      <c r="Y4" s="80" t="s">
        <v>37</v>
      </c>
      <c r="Z4" s="80"/>
      <c r="AA4" s="80"/>
      <c r="AB4" s="80"/>
      <c r="AE4" s="3" t="s">
        <v>49</v>
      </c>
      <c r="AF4" s="5"/>
    </row>
    <row r="5" spans="2:32" s="21" customFormat="1" ht="63.75" thickBot="1" x14ac:dyDescent="0.3">
      <c r="B5" s="20" t="s">
        <v>56</v>
      </c>
      <c r="C5" s="20" t="s">
        <v>13</v>
      </c>
      <c r="D5" s="20" t="s">
        <v>14</v>
      </c>
      <c r="E5" s="20" t="s">
        <v>15</v>
      </c>
      <c r="F5" s="20" t="s">
        <v>38</v>
      </c>
      <c r="G5" s="20" t="s">
        <v>39</v>
      </c>
      <c r="H5" s="20" t="s">
        <v>40</v>
      </c>
      <c r="I5" s="20" t="s">
        <v>41</v>
      </c>
      <c r="J5" s="20" t="s">
        <v>42</v>
      </c>
      <c r="K5" s="20" t="s">
        <v>43</v>
      </c>
      <c r="L5" s="20" t="s">
        <v>44</v>
      </c>
      <c r="M5" s="20" t="s">
        <v>45</v>
      </c>
      <c r="N5" s="20" t="s">
        <v>46</v>
      </c>
      <c r="P5" s="20" t="s">
        <v>22</v>
      </c>
      <c r="Q5" s="20" t="s">
        <v>16</v>
      </c>
      <c r="R5" s="20" t="s">
        <v>23</v>
      </c>
      <c r="T5" s="20" t="s">
        <v>24</v>
      </c>
      <c r="U5" s="20" t="s">
        <v>30</v>
      </c>
      <c r="V5" s="20" t="s">
        <v>25</v>
      </c>
      <c r="W5" s="20" t="s">
        <v>31</v>
      </c>
      <c r="Y5" s="20" t="s">
        <v>27</v>
      </c>
      <c r="Z5" s="20" t="s">
        <v>29</v>
      </c>
      <c r="AA5" s="20" t="s">
        <v>28</v>
      </c>
      <c r="AB5" s="20" t="s">
        <v>31</v>
      </c>
      <c r="AE5" s="3" t="s">
        <v>50</v>
      </c>
      <c r="AF5" s="6"/>
    </row>
    <row r="6" spans="2:32" s="21" customFormat="1" ht="21" customHeight="1" thickBot="1" x14ac:dyDescent="0.3">
      <c r="B6" s="22">
        <v>1</v>
      </c>
      <c r="C6" s="23">
        <v>0.97</v>
      </c>
      <c r="D6" s="23">
        <v>1</v>
      </c>
      <c r="E6" s="23">
        <v>1.04</v>
      </c>
      <c r="F6" s="23"/>
      <c r="G6" s="23"/>
      <c r="H6" s="23"/>
      <c r="I6" s="23"/>
      <c r="J6" s="23"/>
      <c r="K6" s="23"/>
      <c r="L6" s="23"/>
      <c r="M6" s="23"/>
      <c r="N6" s="23"/>
      <c r="P6" s="24">
        <v>1</v>
      </c>
      <c r="Q6" s="57">
        <f t="shared" ref="Q6:Q16" si="0">IF(C6&lt;&gt;"",MAX(C6:N6)-MIN(C6:N6),"")</f>
        <v>7.0000000000000007E-2</v>
      </c>
      <c r="R6" s="58">
        <f t="shared" ref="R6:R16" si="1">IF(C6&lt;&gt;"",AVERAGE(C6:N6),"")</f>
        <v>1.0033000000000001</v>
      </c>
      <c r="T6" s="43">
        <f>IF(Q6&lt;&gt;"",U6*VLOOKUP($D$2,'table for xbar and r chart'!$A$1:$E$25,5),"")</f>
        <v>0.14699999999999999</v>
      </c>
      <c r="U6" s="44">
        <f t="shared" ref="U6" si="2">IF(Q6&lt;&gt;"",AVERAGE($Q$6:$Q$26),"")</f>
        <v>5.7000000000000002E-2</v>
      </c>
      <c r="V6" s="44">
        <f>IF(Q6&lt;&gt;"",U6*VLOOKUP($D$2,'table for xbar and r chart'!$A$1:$E$25,4),"")</f>
        <v>0</v>
      </c>
      <c r="W6" s="25" t="str">
        <f t="shared" ref="W6:W26" si="3">IF(Q6&lt;&gt;"",IF(Q6&gt;T6,"Above",IF(Q6&lt;V6,"Below","")),"")</f>
        <v/>
      </c>
      <c r="Y6" s="43">
        <f>IF(Q6&lt;&gt;"",Z6+VLOOKUP($D$2,'table for xbar and r chart'!$A$1:$E$25,2)*U6,"")</f>
        <v>1.0580000000000001</v>
      </c>
      <c r="Z6" s="44">
        <f t="shared" ref="Z6" si="4">IF(Q6&lt;&gt;"",AVERAGE($R$6:$R$26),"")</f>
        <v>1</v>
      </c>
      <c r="AA6" s="44">
        <f>IF(Q6&lt;&gt;"",Z6-VLOOKUP($D$2,'table for xbar and r chart'!$A$1:$E$25,2)*U6,"")</f>
        <v>0.94199999999999995</v>
      </c>
      <c r="AB6" s="25" t="str">
        <f t="shared" ref="AB6:AB26" si="5">IF(R6&lt;&gt;"",IF(R6&gt;Y6,"Above",IF(R6&lt;AA6,"Below","")),"")</f>
        <v/>
      </c>
      <c r="AE6" s="3" t="s">
        <v>51</v>
      </c>
      <c r="AF6" s="7"/>
    </row>
    <row r="7" spans="2:32" s="21" customFormat="1" ht="21" customHeight="1" thickBot="1" x14ac:dyDescent="0.3">
      <c r="B7" s="22">
        <v>2</v>
      </c>
      <c r="C7" s="23">
        <v>0.96</v>
      </c>
      <c r="D7" s="23">
        <v>0.97</v>
      </c>
      <c r="E7" s="23">
        <v>1.01</v>
      </c>
      <c r="F7" s="23"/>
      <c r="G7" s="23"/>
      <c r="H7" s="23"/>
      <c r="I7" s="23"/>
      <c r="J7" s="23"/>
      <c r="K7" s="23"/>
      <c r="L7" s="23"/>
      <c r="M7" s="23"/>
      <c r="N7" s="23"/>
      <c r="P7" s="26">
        <v>2</v>
      </c>
      <c r="Q7" s="57">
        <f t="shared" si="0"/>
        <v>0.05</v>
      </c>
      <c r="R7" s="58">
        <f t="shared" si="1"/>
        <v>0.98</v>
      </c>
      <c r="T7" s="43">
        <f>IF(Q7&lt;&gt;"",U7*VLOOKUP($D$2,'table for xbar and r chart'!$A$1:$E$25,5),"")</f>
        <v>0.14699999999999999</v>
      </c>
      <c r="U7" s="44">
        <f t="shared" ref="U7:U26" si="6">IF(Q7&lt;&gt;"",AVERAGE($Q$6:$Q$26),"")</f>
        <v>5.7000000000000002E-2</v>
      </c>
      <c r="V7" s="44">
        <f>IF(Q7&lt;&gt;"",U7*VLOOKUP($D$2,'table for xbar and r chart'!$A$1:$E$25,4),"")</f>
        <v>0</v>
      </c>
      <c r="W7" s="25" t="str">
        <f t="shared" si="3"/>
        <v/>
      </c>
      <c r="Y7" s="43">
        <f>IF(Q7&lt;&gt;"",Z7+VLOOKUP($D$2,'table for xbar and r chart'!$A$1:$E$25,2)*U7,"")</f>
        <v>1.0580000000000001</v>
      </c>
      <c r="Z7" s="44">
        <f t="shared" ref="Z7:Z26" si="7">IF(Q7&lt;&gt;"",AVERAGE($R$6:$R$26),"")</f>
        <v>1</v>
      </c>
      <c r="AA7" s="44">
        <f>IF(Q7&lt;&gt;"",Z7-VLOOKUP($D$2,'table for xbar and r chart'!$A$1:$E$25,2)*U7,"")</f>
        <v>0.94199999999999995</v>
      </c>
      <c r="AB7" s="25" t="str">
        <f t="shared" si="5"/>
        <v/>
      </c>
      <c r="AE7" s="3" t="s">
        <v>52</v>
      </c>
      <c r="AF7" s="8"/>
    </row>
    <row r="8" spans="2:32" s="21" customFormat="1" ht="21" customHeight="1" thickBot="1" x14ac:dyDescent="0.3">
      <c r="B8" s="22">
        <v>3</v>
      </c>
      <c r="C8" s="23">
        <v>0.99</v>
      </c>
      <c r="D8" s="23">
        <v>1.01</v>
      </c>
      <c r="E8" s="23">
        <v>1.04</v>
      </c>
      <c r="F8" s="23"/>
      <c r="G8" s="23"/>
      <c r="H8" s="23"/>
      <c r="I8" s="23"/>
      <c r="J8" s="23"/>
      <c r="K8" s="23"/>
      <c r="L8" s="23"/>
      <c r="M8" s="23"/>
      <c r="N8" s="23"/>
      <c r="P8" s="26">
        <v>3</v>
      </c>
      <c r="Q8" s="57">
        <f t="shared" si="0"/>
        <v>0.05</v>
      </c>
      <c r="R8" s="58">
        <f t="shared" si="1"/>
        <v>1.0133000000000001</v>
      </c>
      <c r="T8" s="43">
        <f>IF(Q8&lt;&gt;"",U8*VLOOKUP($D$2,'table for xbar and r chart'!$A$1:$E$25,5),"")</f>
        <v>0.14699999999999999</v>
      </c>
      <c r="U8" s="44">
        <f t="shared" si="6"/>
        <v>5.7000000000000002E-2</v>
      </c>
      <c r="V8" s="44">
        <f>IF(Q8&lt;&gt;"",U8*VLOOKUP($D$2,'table for xbar and r chart'!$A$1:$E$25,4),"")</f>
        <v>0</v>
      </c>
      <c r="W8" s="25" t="str">
        <f t="shared" si="3"/>
        <v/>
      </c>
      <c r="Y8" s="43">
        <f>IF(Q8&lt;&gt;"",Z8+VLOOKUP($D$2,'table for xbar and r chart'!$A$1:$E$25,2)*U8,"")</f>
        <v>1.0580000000000001</v>
      </c>
      <c r="Z8" s="44">
        <f t="shared" si="7"/>
        <v>1</v>
      </c>
      <c r="AA8" s="44">
        <f>IF(Q8&lt;&gt;"",Z8-VLOOKUP($D$2,'table for xbar and r chart'!$A$1:$E$25,2)*U8,"")</f>
        <v>0.94199999999999995</v>
      </c>
      <c r="AB8" s="25" t="str">
        <f t="shared" si="5"/>
        <v/>
      </c>
    </row>
    <row r="9" spans="2:32" s="21" customFormat="1" ht="21" customHeight="1" thickBot="1" x14ac:dyDescent="0.3">
      <c r="B9" s="22">
        <v>4</v>
      </c>
      <c r="C9" s="23">
        <v>1.01</v>
      </c>
      <c r="D9" s="23">
        <v>0.98</v>
      </c>
      <c r="E9" s="23">
        <v>0.97</v>
      </c>
      <c r="F9" s="23"/>
      <c r="G9" s="23"/>
      <c r="H9" s="23"/>
      <c r="I9" s="23"/>
      <c r="J9" s="23"/>
      <c r="K9" s="23"/>
      <c r="L9" s="23"/>
      <c r="M9" s="23"/>
      <c r="N9" s="23"/>
      <c r="P9" s="26">
        <v>4</v>
      </c>
      <c r="Q9" s="57">
        <f t="shared" si="0"/>
        <v>0.04</v>
      </c>
      <c r="R9" s="58">
        <f t="shared" si="1"/>
        <v>0.98670000000000002</v>
      </c>
      <c r="T9" s="43">
        <f>IF(Q9&lt;&gt;"",U9*VLOOKUP($D$2,'table for xbar and r chart'!$A$1:$E$25,5),"")</f>
        <v>0.14699999999999999</v>
      </c>
      <c r="U9" s="44">
        <f t="shared" si="6"/>
        <v>5.7000000000000002E-2</v>
      </c>
      <c r="V9" s="44">
        <f>IF(Q9&lt;&gt;"",U9*VLOOKUP($D$2,'table for xbar and r chart'!$A$1:$E$25,4),"")</f>
        <v>0</v>
      </c>
      <c r="W9" s="25" t="str">
        <f t="shared" si="3"/>
        <v/>
      </c>
      <c r="Y9" s="43">
        <f>IF(Q9&lt;&gt;"",Z9+VLOOKUP($D$2,'table for xbar and r chart'!$A$1:$E$25,2)*U9,"")</f>
        <v>1.0580000000000001</v>
      </c>
      <c r="Z9" s="44">
        <f t="shared" si="7"/>
        <v>1</v>
      </c>
      <c r="AA9" s="44">
        <f>IF(Q9&lt;&gt;"",Z9-VLOOKUP($D$2,'table for xbar and r chart'!$A$1:$E$25,2)*U9,"")</f>
        <v>0.94199999999999995</v>
      </c>
      <c r="AB9" s="25" t="str">
        <f t="shared" si="5"/>
        <v/>
      </c>
    </row>
    <row r="10" spans="2:32" s="21" customFormat="1" ht="21" customHeight="1" thickBot="1" x14ac:dyDescent="0.3">
      <c r="B10" s="22">
        <v>5</v>
      </c>
      <c r="C10" s="23">
        <v>0.99</v>
      </c>
      <c r="D10" s="23">
        <v>1.04</v>
      </c>
      <c r="E10" s="23">
        <v>1.04</v>
      </c>
      <c r="F10" s="23"/>
      <c r="G10" s="23"/>
      <c r="H10" s="23"/>
      <c r="I10" s="23"/>
      <c r="J10" s="23"/>
      <c r="K10" s="23"/>
      <c r="L10" s="23"/>
      <c r="M10" s="23"/>
      <c r="N10" s="23"/>
      <c r="P10" s="26">
        <v>5</v>
      </c>
      <c r="Q10" s="57">
        <f t="shared" si="0"/>
        <v>0.05</v>
      </c>
      <c r="R10" s="58">
        <f t="shared" si="1"/>
        <v>1.0233000000000001</v>
      </c>
      <c r="T10" s="43">
        <f>IF(Q10&lt;&gt;"",U10*VLOOKUP($D$2,'table for xbar and r chart'!$A$1:$E$25,5),"")</f>
        <v>0.14699999999999999</v>
      </c>
      <c r="U10" s="44">
        <f t="shared" si="6"/>
        <v>5.7000000000000002E-2</v>
      </c>
      <c r="V10" s="44">
        <f>IF(Q10&lt;&gt;"",U10*VLOOKUP($D$2,'table for xbar and r chart'!$A$1:$E$25,4),"")</f>
        <v>0</v>
      </c>
      <c r="W10" s="25" t="str">
        <f t="shared" si="3"/>
        <v/>
      </c>
      <c r="Y10" s="43">
        <f>IF(Q10&lt;&gt;"",Z10+VLOOKUP($D$2,'table for xbar and r chart'!$A$1:$E$25,2)*U10,"")</f>
        <v>1.0580000000000001</v>
      </c>
      <c r="Z10" s="44">
        <f t="shared" si="7"/>
        <v>1</v>
      </c>
      <c r="AA10" s="44">
        <f>IF(Q10&lt;&gt;"",Z10-VLOOKUP($D$2,'table for xbar and r chart'!$A$1:$E$25,2)*U10,"")</f>
        <v>0.94199999999999995</v>
      </c>
      <c r="AB10" s="25" t="str">
        <f t="shared" si="5"/>
        <v/>
      </c>
    </row>
    <row r="11" spans="2:32" s="21" customFormat="1" ht="21" customHeight="1" thickBot="1" x14ac:dyDescent="0.3">
      <c r="B11" s="22">
        <v>6</v>
      </c>
      <c r="C11" s="23">
        <v>0.99</v>
      </c>
      <c r="D11" s="23">
        <v>1.03</v>
      </c>
      <c r="E11" s="23">
        <v>0.96</v>
      </c>
      <c r="F11" s="23"/>
      <c r="G11" s="23"/>
      <c r="H11" s="23"/>
      <c r="I11" s="23"/>
      <c r="J11" s="23"/>
      <c r="K11" s="23"/>
      <c r="L11" s="23"/>
      <c r="M11" s="23"/>
      <c r="N11" s="23"/>
      <c r="P11" s="26">
        <v>6</v>
      </c>
      <c r="Q11" s="57">
        <f t="shared" si="0"/>
        <v>7.0000000000000007E-2</v>
      </c>
      <c r="R11" s="58">
        <f t="shared" si="1"/>
        <v>0.99329999999999996</v>
      </c>
      <c r="T11" s="43">
        <f>IF(Q11&lt;&gt;"",U11*VLOOKUP($D$2,'table for xbar and r chart'!$A$1:$E$25,5),"")</f>
        <v>0.14699999999999999</v>
      </c>
      <c r="U11" s="44">
        <f t="shared" si="6"/>
        <v>5.7000000000000002E-2</v>
      </c>
      <c r="V11" s="44">
        <f>IF(Q11&lt;&gt;"",U11*VLOOKUP($D$2,'table for xbar and r chart'!$A$1:$E$25,4),"")</f>
        <v>0</v>
      </c>
      <c r="W11" s="25" t="str">
        <f t="shared" si="3"/>
        <v/>
      </c>
      <c r="Y11" s="43">
        <f>IF(Q11&lt;&gt;"",Z11+VLOOKUP($D$2,'table for xbar and r chart'!$A$1:$E$25,2)*U11,"")</f>
        <v>1.0580000000000001</v>
      </c>
      <c r="Z11" s="44">
        <f t="shared" si="7"/>
        <v>1</v>
      </c>
      <c r="AA11" s="44">
        <f>IF(Q11&lt;&gt;"",Z11-VLOOKUP($D$2,'table for xbar and r chart'!$A$1:$E$25,2)*U11,"")</f>
        <v>0.94199999999999995</v>
      </c>
      <c r="AB11" s="25" t="str">
        <f t="shared" si="5"/>
        <v/>
      </c>
    </row>
    <row r="12" spans="2:32" s="21" customFormat="1" ht="21" customHeight="1" thickBot="1" x14ac:dyDescent="0.3">
      <c r="B12" s="22">
        <v>7</v>
      </c>
      <c r="C12" s="23">
        <v>0.98</v>
      </c>
      <c r="D12" s="23">
        <v>1.05</v>
      </c>
      <c r="E12" s="23">
        <v>0.96</v>
      </c>
      <c r="F12" s="23"/>
      <c r="G12" s="23"/>
      <c r="H12" s="23"/>
      <c r="I12" s="23"/>
      <c r="J12" s="23"/>
      <c r="K12" s="23"/>
      <c r="L12" s="23"/>
      <c r="M12" s="23"/>
      <c r="N12" s="23"/>
      <c r="P12" s="26">
        <v>7</v>
      </c>
      <c r="Q12" s="57">
        <f t="shared" si="0"/>
        <v>0.09</v>
      </c>
      <c r="R12" s="58">
        <f t="shared" si="1"/>
        <v>0.99670000000000003</v>
      </c>
      <c r="T12" s="43">
        <f>IF(Q12&lt;&gt;"",U12*VLOOKUP($D$2,'table for xbar and r chart'!$A$1:$E$25,5),"")</f>
        <v>0.14699999999999999</v>
      </c>
      <c r="U12" s="44">
        <f t="shared" si="6"/>
        <v>5.7000000000000002E-2</v>
      </c>
      <c r="V12" s="44">
        <f>IF(Q12&lt;&gt;"",U12*VLOOKUP($D$2,'table for xbar and r chart'!$A$1:$E$25,4),"")</f>
        <v>0</v>
      </c>
      <c r="W12" s="25" t="str">
        <f t="shared" si="3"/>
        <v/>
      </c>
      <c r="Y12" s="43">
        <f>IF(Q12&lt;&gt;"",Z12+VLOOKUP($D$2,'table for xbar and r chart'!$A$1:$E$25,2)*U12,"")</f>
        <v>1.0580000000000001</v>
      </c>
      <c r="Z12" s="44">
        <f t="shared" si="7"/>
        <v>1</v>
      </c>
      <c r="AA12" s="44">
        <f>IF(Q12&lt;&gt;"",Z12-VLOOKUP($D$2,'table for xbar and r chart'!$A$1:$E$25,2)*U12,"")</f>
        <v>0.94199999999999995</v>
      </c>
      <c r="AB12" s="25" t="str">
        <f t="shared" si="5"/>
        <v/>
      </c>
    </row>
    <row r="13" spans="2:32" s="21" customFormat="1" ht="21" customHeight="1" thickBot="1" x14ac:dyDescent="0.3">
      <c r="B13" s="22">
        <v>8</v>
      </c>
      <c r="C13" s="23">
        <v>1.02</v>
      </c>
      <c r="D13" s="23">
        <v>1.04</v>
      </c>
      <c r="E13" s="23">
        <v>1</v>
      </c>
      <c r="F13" s="23"/>
      <c r="G13" s="23"/>
      <c r="H13" s="23"/>
      <c r="I13" s="23"/>
      <c r="J13" s="23"/>
      <c r="K13" s="23"/>
      <c r="L13" s="23"/>
      <c r="M13" s="23"/>
      <c r="N13" s="23"/>
      <c r="P13" s="26">
        <v>8</v>
      </c>
      <c r="Q13" s="57">
        <f t="shared" si="0"/>
        <v>0.04</v>
      </c>
      <c r="R13" s="58">
        <f t="shared" si="1"/>
        <v>1.02</v>
      </c>
      <c r="T13" s="43">
        <f>IF(Q13&lt;&gt;"",U13*VLOOKUP($D$2,'table for xbar and r chart'!$A$1:$E$25,5),"")</f>
        <v>0.14699999999999999</v>
      </c>
      <c r="U13" s="44">
        <f t="shared" si="6"/>
        <v>5.7000000000000002E-2</v>
      </c>
      <c r="V13" s="44">
        <f>IF(Q13&lt;&gt;"",U13*VLOOKUP($D$2,'table for xbar and r chart'!$A$1:$E$25,4),"")</f>
        <v>0</v>
      </c>
      <c r="W13" s="25" t="str">
        <f t="shared" si="3"/>
        <v/>
      </c>
      <c r="Y13" s="43">
        <f>IF(Q13&lt;&gt;"",Z13+VLOOKUP($D$2,'table for xbar and r chart'!$A$1:$E$25,2)*U13,"")</f>
        <v>1.0580000000000001</v>
      </c>
      <c r="Z13" s="44">
        <f t="shared" si="7"/>
        <v>1</v>
      </c>
      <c r="AA13" s="44">
        <f>IF(Q13&lt;&gt;"",Z13-VLOOKUP($D$2,'table for xbar and r chart'!$A$1:$E$25,2)*U13,"")</f>
        <v>0.94199999999999995</v>
      </c>
      <c r="AB13" s="25" t="str">
        <f t="shared" si="5"/>
        <v/>
      </c>
    </row>
    <row r="14" spans="2:32" s="21" customFormat="1" ht="21" customHeight="1" thickBot="1" x14ac:dyDescent="0.3">
      <c r="B14" s="22">
        <v>9</v>
      </c>
      <c r="C14" s="23">
        <v>1.04</v>
      </c>
      <c r="D14" s="23">
        <v>1.03</v>
      </c>
      <c r="E14" s="23">
        <v>0.98</v>
      </c>
      <c r="F14" s="23"/>
      <c r="G14" s="23"/>
      <c r="H14" s="23"/>
      <c r="I14" s="23"/>
      <c r="J14" s="23"/>
      <c r="K14" s="23"/>
      <c r="L14" s="23"/>
      <c r="M14" s="23"/>
      <c r="N14" s="23"/>
      <c r="P14" s="26">
        <v>9</v>
      </c>
      <c r="Q14" s="57">
        <f t="shared" si="0"/>
        <v>0.06</v>
      </c>
      <c r="R14" s="58">
        <f t="shared" si="1"/>
        <v>1.0166999999999999</v>
      </c>
      <c r="T14" s="43">
        <f>IF(Q14&lt;&gt;"",U14*VLOOKUP($D$2,'table for xbar and r chart'!$A$1:$E$25,5),"")</f>
        <v>0.14699999999999999</v>
      </c>
      <c r="U14" s="44">
        <f t="shared" si="6"/>
        <v>5.7000000000000002E-2</v>
      </c>
      <c r="V14" s="44">
        <f>IF(Q14&lt;&gt;"",U14*VLOOKUP($D$2,'table for xbar and r chart'!$A$1:$E$25,4),"")</f>
        <v>0</v>
      </c>
      <c r="W14" s="25" t="str">
        <f t="shared" si="3"/>
        <v/>
      </c>
      <c r="Y14" s="43">
        <f>IF(Q14&lt;&gt;"",Z14+VLOOKUP($D$2,'table for xbar and r chart'!$A$1:$E$25,2)*U14,"")</f>
        <v>1.0580000000000001</v>
      </c>
      <c r="Z14" s="44">
        <f t="shared" si="7"/>
        <v>1</v>
      </c>
      <c r="AA14" s="44">
        <f>IF(Q14&lt;&gt;"",Z14-VLOOKUP($D$2,'table for xbar and r chart'!$A$1:$E$25,2)*U14,"")</f>
        <v>0.94199999999999995</v>
      </c>
      <c r="AB14" s="25" t="str">
        <f t="shared" si="5"/>
        <v/>
      </c>
    </row>
    <row r="15" spans="2:32" s="21" customFormat="1" ht="21" customHeight="1" thickBot="1" x14ac:dyDescent="0.3">
      <c r="B15" s="22">
        <v>10</v>
      </c>
      <c r="C15" s="23">
        <v>1.04</v>
      </c>
      <c r="D15" s="23">
        <v>1.03</v>
      </c>
      <c r="E15" s="23">
        <v>0.99</v>
      </c>
      <c r="F15" s="23"/>
      <c r="G15" s="23"/>
      <c r="H15" s="23"/>
      <c r="I15" s="23"/>
      <c r="J15" s="23"/>
      <c r="K15" s="23"/>
      <c r="L15" s="23"/>
      <c r="M15" s="23"/>
      <c r="N15" s="23"/>
      <c r="P15" s="26">
        <v>10</v>
      </c>
      <c r="Q15" s="57">
        <f t="shared" si="0"/>
        <v>0.05</v>
      </c>
      <c r="R15" s="58">
        <f t="shared" si="1"/>
        <v>1.02</v>
      </c>
      <c r="T15" s="43">
        <f>IF(Q15&lt;&gt;"",U15*VLOOKUP($D$2,'table for xbar and r chart'!$A$1:$E$25,5),"")</f>
        <v>0.14699999999999999</v>
      </c>
      <c r="U15" s="44">
        <f t="shared" si="6"/>
        <v>5.7000000000000002E-2</v>
      </c>
      <c r="V15" s="44">
        <f>IF(Q15&lt;&gt;"",U15*VLOOKUP($D$2,'table for xbar and r chart'!$A$1:$E$25,4),"")</f>
        <v>0</v>
      </c>
      <c r="W15" s="25" t="str">
        <f t="shared" si="3"/>
        <v/>
      </c>
      <c r="Y15" s="43">
        <f>IF(Q15&lt;&gt;"",Z15+VLOOKUP($D$2,'table for xbar and r chart'!$A$1:$E$25,2)*U15,"")</f>
        <v>1.0580000000000001</v>
      </c>
      <c r="Z15" s="44">
        <f t="shared" si="7"/>
        <v>1</v>
      </c>
      <c r="AA15" s="44">
        <f>IF(Q15&lt;&gt;"",Z15-VLOOKUP($D$2,'table for xbar and r chart'!$A$1:$E$25,2)*U15,"")</f>
        <v>0.94199999999999995</v>
      </c>
      <c r="AB15" s="25" t="str">
        <f t="shared" si="5"/>
        <v/>
      </c>
    </row>
    <row r="16" spans="2:32" s="21" customFormat="1" ht="21" customHeight="1" thickBot="1" x14ac:dyDescent="0.3">
      <c r="B16" s="22">
        <v>11</v>
      </c>
      <c r="C16" s="23">
        <v>1.01</v>
      </c>
      <c r="D16" s="23">
        <v>0.97</v>
      </c>
      <c r="E16" s="23">
        <v>0.96</v>
      </c>
      <c r="F16" s="23"/>
      <c r="G16" s="23"/>
      <c r="H16" s="23"/>
      <c r="I16" s="23"/>
      <c r="J16" s="23"/>
      <c r="K16" s="23"/>
      <c r="L16" s="23"/>
      <c r="M16" s="23"/>
      <c r="N16" s="23"/>
      <c r="P16" s="26">
        <v>11</v>
      </c>
      <c r="Q16" s="57">
        <f t="shared" si="0"/>
        <v>0.05</v>
      </c>
      <c r="R16" s="58">
        <f t="shared" si="1"/>
        <v>0.98</v>
      </c>
      <c r="T16" s="43">
        <f>IF(Q16&lt;&gt;"",U16*VLOOKUP($D$2,'table for xbar and r chart'!$A$1:$E$25,5),"")</f>
        <v>0.14699999999999999</v>
      </c>
      <c r="U16" s="44">
        <f t="shared" si="6"/>
        <v>5.7000000000000002E-2</v>
      </c>
      <c r="V16" s="44">
        <f>IF(Q16&lt;&gt;"",U16*VLOOKUP($D$2,'table for xbar and r chart'!$A$1:$E$25,4),"")</f>
        <v>0</v>
      </c>
      <c r="W16" s="25" t="str">
        <f t="shared" si="3"/>
        <v/>
      </c>
      <c r="Y16" s="43">
        <f>IF(Q16&lt;&gt;"",Z16+VLOOKUP($D$2,'table for xbar and r chart'!$A$1:$E$25,2)*U16,"")</f>
        <v>1.0580000000000001</v>
      </c>
      <c r="Z16" s="44">
        <f t="shared" si="7"/>
        <v>1</v>
      </c>
      <c r="AA16" s="44">
        <f>IF(Q16&lt;&gt;"",Z16-VLOOKUP($D$2,'table for xbar and r chart'!$A$1:$E$25,2)*U16,"")</f>
        <v>0.94199999999999995</v>
      </c>
      <c r="AB16" s="25" t="str">
        <f t="shared" si="5"/>
        <v/>
      </c>
    </row>
    <row r="17" spans="2:28" s="21" customFormat="1" ht="21" customHeight="1" thickBot="1" x14ac:dyDescent="0.3">
      <c r="B17" s="22">
        <v>12</v>
      </c>
      <c r="C17" s="23">
        <v>0.98</v>
      </c>
      <c r="D17" s="23">
        <v>0.98</v>
      </c>
      <c r="E17" s="23">
        <v>1.01</v>
      </c>
      <c r="F17" s="23"/>
      <c r="G17" s="23"/>
      <c r="H17" s="23"/>
      <c r="I17" s="23"/>
      <c r="J17" s="23"/>
      <c r="K17" s="23"/>
      <c r="L17" s="23"/>
      <c r="M17" s="23"/>
      <c r="N17" s="23"/>
      <c r="P17" s="26">
        <v>12</v>
      </c>
      <c r="Q17" s="57">
        <f t="shared" ref="Q17:Q26" si="8">IF(C17&lt;&gt;"",MAX(C17:N17)-MIN(C17:N17),"")</f>
        <v>0.03</v>
      </c>
      <c r="R17" s="58">
        <f t="shared" ref="R17:R26" si="9">IF(C17&lt;&gt;"",AVERAGE(C17:N17),"")</f>
        <v>0.99</v>
      </c>
      <c r="T17" s="43">
        <f>IF(Q17&lt;&gt;"",U17*VLOOKUP($D$2,'table for xbar and r chart'!$A$1:$E$25,5),"")</f>
        <v>0.14699999999999999</v>
      </c>
      <c r="U17" s="44">
        <f t="shared" si="6"/>
        <v>5.7000000000000002E-2</v>
      </c>
      <c r="V17" s="44">
        <f>IF(Q17&lt;&gt;"",U17*VLOOKUP($D$2,'table for xbar and r chart'!$A$1:$E$25,4),"")</f>
        <v>0</v>
      </c>
      <c r="W17" s="25" t="str">
        <f t="shared" si="3"/>
        <v/>
      </c>
      <c r="Y17" s="43">
        <f>IF(Q17&lt;&gt;"",Z17+VLOOKUP($D$2,'table for xbar and r chart'!$A$1:$E$25,2)*U17,"")</f>
        <v>1.0580000000000001</v>
      </c>
      <c r="Z17" s="44">
        <f t="shared" si="7"/>
        <v>1</v>
      </c>
      <c r="AA17" s="44">
        <f>IF(Q17&lt;&gt;"",Z17-VLOOKUP($D$2,'table for xbar and r chart'!$A$1:$E$25,2)*U17,"")</f>
        <v>0.94199999999999995</v>
      </c>
      <c r="AB17" s="25" t="str">
        <f t="shared" si="5"/>
        <v/>
      </c>
    </row>
    <row r="18" spans="2:28" s="21" customFormat="1" ht="21" customHeight="1" thickBot="1" x14ac:dyDescent="0.3">
      <c r="B18" s="22">
        <v>13</v>
      </c>
      <c r="C18" s="23">
        <v>0.95</v>
      </c>
      <c r="D18" s="23">
        <v>1.05</v>
      </c>
      <c r="E18" s="23">
        <v>1.04</v>
      </c>
      <c r="F18" s="23"/>
      <c r="G18" s="23"/>
      <c r="H18" s="23"/>
      <c r="I18" s="23"/>
      <c r="J18" s="23"/>
      <c r="K18" s="23"/>
      <c r="L18" s="23"/>
      <c r="M18" s="23"/>
      <c r="N18" s="23"/>
      <c r="P18" s="26">
        <v>13</v>
      </c>
      <c r="Q18" s="57">
        <f t="shared" si="8"/>
        <v>0.1</v>
      </c>
      <c r="R18" s="58">
        <f t="shared" si="9"/>
        <v>1.0133000000000001</v>
      </c>
      <c r="T18" s="43">
        <f>IF(Q18&lt;&gt;"",U18*VLOOKUP($D$2,'table for xbar and r chart'!$A$1:$E$25,5),"")</f>
        <v>0.14699999999999999</v>
      </c>
      <c r="U18" s="44">
        <f t="shared" si="6"/>
        <v>5.7000000000000002E-2</v>
      </c>
      <c r="V18" s="44">
        <f>IF(Q18&lt;&gt;"",U18*VLOOKUP($D$2,'table for xbar and r chart'!$A$1:$E$25,4),"")</f>
        <v>0</v>
      </c>
      <c r="W18" s="25" t="str">
        <f t="shared" si="3"/>
        <v/>
      </c>
      <c r="Y18" s="43">
        <f>IF(Q18&lt;&gt;"",Z18+VLOOKUP($D$2,'table for xbar and r chart'!$A$1:$E$25,2)*U18,"")</f>
        <v>1.0580000000000001</v>
      </c>
      <c r="Z18" s="44">
        <f t="shared" si="7"/>
        <v>1</v>
      </c>
      <c r="AA18" s="44">
        <f>IF(Q18&lt;&gt;"",Z18-VLOOKUP($D$2,'table for xbar and r chart'!$A$1:$E$25,2)*U18,"")</f>
        <v>0.94199999999999995</v>
      </c>
      <c r="AB18" s="25" t="str">
        <f t="shared" si="5"/>
        <v/>
      </c>
    </row>
    <row r="19" spans="2:28" s="21" customFormat="1" ht="21" customHeight="1" thickBot="1" x14ac:dyDescent="0.3">
      <c r="B19" s="22">
        <v>14</v>
      </c>
      <c r="C19" s="23">
        <v>0.97</v>
      </c>
      <c r="D19" s="23">
        <v>1.01</v>
      </c>
      <c r="E19" s="23">
        <v>0.98</v>
      </c>
      <c r="F19" s="23"/>
      <c r="G19" s="23"/>
      <c r="H19" s="23"/>
      <c r="I19" s="23"/>
      <c r="J19" s="23"/>
      <c r="K19" s="23"/>
      <c r="L19" s="23"/>
      <c r="M19" s="23"/>
      <c r="N19" s="23"/>
      <c r="P19" s="26">
        <v>14</v>
      </c>
      <c r="Q19" s="57">
        <f t="shared" si="8"/>
        <v>0.04</v>
      </c>
      <c r="R19" s="58">
        <f t="shared" si="9"/>
        <v>0.98670000000000002</v>
      </c>
      <c r="T19" s="43">
        <f>IF(Q19&lt;&gt;"",U19*VLOOKUP($D$2,'table for xbar and r chart'!$A$1:$E$25,5),"")</f>
        <v>0.14699999999999999</v>
      </c>
      <c r="U19" s="44">
        <f t="shared" si="6"/>
        <v>5.7000000000000002E-2</v>
      </c>
      <c r="V19" s="44">
        <f>IF(Q19&lt;&gt;"",U19*VLOOKUP($D$2,'table for xbar and r chart'!$A$1:$E$25,4),"")</f>
        <v>0</v>
      </c>
      <c r="W19" s="25" t="str">
        <f t="shared" si="3"/>
        <v/>
      </c>
      <c r="Y19" s="43">
        <f>IF(Q19&lt;&gt;"",Z19+VLOOKUP($D$2,'table for xbar and r chart'!$A$1:$E$25,2)*U19,"")</f>
        <v>1.0580000000000001</v>
      </c>
      <c r="Z19" s="44">
        <f t="shared" si="7"/>
        <v>1</v>
      </c>
      <c r="AA19" s="44">
        <f>IF(Q19&lt;&gt;"",Z19-VLOOKUP($D$2,'table for xbar and r chart'!$A$1:$E$25,2)*U19,"")</f>
        <v>0.94199999999999995</v>
      </c>
      <c r="AB19" s="25" t="str">
        <f t="shared" si="5"/>
        <v/>
      </c>
    </row>
    <row r="20" spans="2:28" s="21" customFormat="1" ht="21" customHeight="1" thickBot="1" x14ac:dyDescent="0.3">
      <c r="B20" s="22">
        <v>15</v>
      </c>
      <c r="C20" s="23">
        <v>0.97</v>
      </c>
      <c r="D20" s="23">
        <v>1.01</v>
      </c>
      <c r="E20" s="23">
        <v>0.95</v>
      </c>
      <c r="F20" s="23"/>
      <c r="G20" s="23"/>
      <c r="H20" s="23"/>
      <c r="I20" s="23"/>
      <c r="J20" s="23"/>
      <c r="K20" s="23"/>
      <c r="L20" s="23"/>
      <c r="M20" s="23"/>
      <c r="N20" s="23"/>
      <c r="P20" s="26">
        <v>15</v>
      </c>
      <c r="Q20" s="57">
        <f t="shared" si="8"/>
        <v>0.06</v>
      </c>
      <c r="R20" s="58">
        <f t="shared" si="9"/>
        <v>0.97670000000000001</v>
      </c>
      <c r="T20" s="43">
        <f>IF(Q20&lt;&gt;"",U20*VLOOKUP($D$2,'table for xbar and r chart'!$A$1:$E$25,5),"")</f>
        <v>0.14699999999999999</v>
      </c>
      <c r="U20" s="44">
        <f t="shared" si="6"/>
        <v>5.7000000000000002E-2</v>
      </c>
      <c r="V20" s="44">
        <f>IF(Q20&lt;&gt;"",U20*VLOOKUP($D$2,'table for xbar and r chart'!$A$1:$E$25,4),"")</f>
        <v>0</v>
      </c>
      <c r="W20" s="25" t="str">
        <f t="shared" si="3"/>
        <v/>
      </c>
      <c r="Y20" s="43">
        <f>IF(Q20&lt;&gt;"",Z20+VLOOKUP($D$2,'table for xbar and r chart'!$A$1:$E$25,2)*U20,"")</f>
        <v>1.0580000000000001</v>
      </c>
      <c r="Z20" s="44">
        <f t="shared" si="7"/>
        <v>1</v>
      </c>
      <c r="AA20" s="44">
        <f>IF(Q20&lt;&gt;"",Z20-VLOOKUP($D$2,'table for xbar and r chart'!$A$1:$E$25,2)*U20,"")</f>
        <v>0.94199999999999995</v>
      </c>
      <c r="AB20" s="25" t="str">
        <f t="shared" si="5"/>
        <v/>
      </c>
    </row>
    <row r="21" spans="2:28" s="21" customFormat="1" ht="21" customHeight="1" thickBot="1" x14ac:dyDescent="0.3">
      <c r="B21" s="22">
        <v>16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P21" s="26">
        <v>16</v>
      </c>
      <c r="Q21" s="57" t="str">
        <f t="shared" si="8"/>
        <v/>
      </c>
      <c r="R21" s="58" t="str">
        <f t="shared" si="9"/>
        <v/>
      </c>
      <c r="T21" s="43" t="str">
        <f>IF(Q21&lt;&gt;"",U21*VLOOKUP($D$2,'table for xbar and r chart'!$A$1:$E$25,5),"")</f>
        <v/>
      </c>
      <c r="U21" s="44" t="str">
        <f t="shared" si="6"/>
        <v/>
      </c>
      <c r="V21" s="44" t="str">
        <f>IF(Q21&lt;&gt;"",U21*VLOOKUP($D$2,'table for xbar and r chart'!$A$1:$E$25,4),"")</f>
        <v/>
      </c>
      <c r="W21" s="25" t="str">
        <f t="shared" si="3"/>
        <v/>
      </c>
      <c r="Y21" s="43" t="str">
        <f>IF(Q21&lt;&gt;"",Z21+VLOOKUP($D$2,'table for xbar and r chart'!$A$1:$E$25,2)*U21,"")</f>
        <v/>
      </c>
      <c r="Z21" s="44" t="str">
        <f t="shared" si="7"/>
        <v/>
      </c>
      <c r="AA21" s="44" t="str">
        <f>IF(Q21&lt;&gt;"",Z21-VLOOKUP($D$2,'table for xbar and r chart'!$A$1:$E$25,2)*U21,"")</f>
        <v/>
      </c>
      <c r="AB21" s="25" t="str">
        <f t="shared" si="5"/>
        <v/>
      </c>
    </row>
    <row r="22" spans="2:28" s="21" customFormat="1" ht="21" customHeight="1" thickBot="1" x14ac:dyDescent="0.3">
      <c r="B22" s="22">
        <v>17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P22" s="26">
        <v>17</v>
      </c>
      <c r="Q22" s="57" t="str">
        <f t="shared" si="8"/>
        <v/>
      </c>
      <c r="R22" s="58" t="str">
        <f t="shared" si="9"/>
        <v/>
      </c>
      <c r="T22" s="43" t="str">
        <f>IF(Q22&lt;&gt;"",U22*VLOOKUP($D$2,'table for xbar and r chart'!$A$1:$E$25,5),"")</f>
        <v/>
      </c>
      <c r="U22" s="44" t="str">
        <f t="shared" si="6"/>
        <v/>
      </c>
      <c r="V22" s="44" t="str">
        <f>IF(Q22&lt;&gt;"",U22*VLOOKUP($D$2,'table for xbar and r chart'!$A$1:$E$25,4),"")</f>
        <v/>
      </c>
      <c r="W22" s="25" t="str">
        <f t="shared" si="3"/>
        <v/>
      </c>
      <c r="Y22" s="43" t="str">
        <f>IF(Q22&lt;&gt;"",Z22+VLOOKUP($D$2,'table for xbar and r chart'!$A$1:$E$25,2)*U22,"")</f>
        <v/>
      </c>
      <c r="Z22" s="44" t="str">
        <f t="shared" si="7"/>
        <v/>
      </c>
      <c r="AA22" s="44" t="str">
        <f>IF(Q22&lt;&gt;"",Z22-VLOOKUP($D$2,'table for xbar and r chart'!$A$1:$E$25,2)*U22,"")</f>
        <v/>
      </c>
      <c r="AB22" s="25" t="str">
        <f t="shared" si="5"/>
        <v/>
      </c>
    </row>
    <row r="23" spans="2:28" s="21" customFormat="1" ht="21" customHeight="1" thickBot="1" x14ac:dyDescent="0.3">
      <c r="B23" s="22">
        <v>18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P23" s="26">
        <v>18</v>
      </c>
      <c r="Q23" s="57" t="str">
        <f t="shared" si="8"/>
        <v/>
      </c>
      <c r="R23" s="58" t="str">
        <f t="shared" si="9"/>
        <v/>
      </c>
      <c r="T23" s="43" t="str">
        <f>IF(Q23&lt;&gt;"",U23*VLOOKUP($D$2,'table for xbar and r chart'!$A$1:$E$25,5),"")</f>
        <v/>
      </c>
      <c r="U23" s="44" t="str">
        <f t="shared" si="6"/>
        <v/>
      </c>
      <c r="V23" s="44" t="str">
        <f>IF(Q23&lt;&gt;"",U23*VLOOKUP($D$2,'table for xbar and r chart'!$A$1:$E$25,4),"")</f>
        <v/>
      </c>
      <c r="W23" s="25" t="str">
        <f t="shared" si="3"/>
        <v/>
      </c>
      <c r="Y23" s="43" t="str">
        <f>IF(Q23&lt;&gt;"",Z23+VLOOKUP($D$2,'table for xbar and r chart'!$A$1:$E$25,2)*U23,"")</f>
        <v/>
      </c>
      <c r="Z23" s="44" t="str">
        <f t="shared" si="7"/>
        <v/>
      </c>
      <c r="AA23" s="44" t="str">
        <f>IF(Q23&lt;&gt;"",Z23-VLOOKUP($D$2,'table for xbar and r chart'!$A$1:$E$25,2)*U23,"")</f>
        <v/>
      </c>
      <c r="AB23" s="25" t="str">
        <f t="shared" si="5"/>
        <v/>
      </c>
    </row>
    <row r="24" spans="2:28" s="21" customFormat="1" ht="21" customHeight="1" thickBot="1" x14ac:dyDescent="0.3">
      <c r="B24" s="22">
        <v>19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P24" s="26">
        <v>19</v>
      </c>
      <c r="Q24" s="57" t="str">
        <f t="shared" si="8"/>
        <v/>
      </c>
      <c r="R24" s="58" t="str">
        <f t="shared" si="9"/>
        <v/>
      </c>
      <c r="T24" s="43" t="str">
        <f>IF(Q24&lt;&gt;"",U24*VLOOKUP($D$2,'table for xbar and r chart'!$A$1:$E$25,5),"")</f>
        <v/>
      </c>
      <c r="U24" s="44" t="str">
        <f t="shared" si="6"/>
        <v/>
      </c>
      <c r="V24" s="44" t="str">
        <f>IF(Q24&lt;&gt;"",U24*VLOOKUP($D$2,'table for xbar and r chart'!$A$1:$E$25,4),"")</f>
        <v/>
      </c>
      <c r="W24" s="25" t="str">
        <f t="shared" si="3"/>
        <v/>
      </c>
      <c r="Y24" s="43" t="str">
        <f>IF(Q24&lt;&gt;"",Z24+VLOOKUP($D$2,'table for xbar and r chart'!$A$1:$E$25,2)*U24,"")</f>
        <v/>
      </c>
      <c r="Z24" s="44" t="str">
        <f t="shared" si="7"/>
        <v/>
      </c>
      <c r="AA24" s="44" t="str">
        <f>IF(Q24&lt;&gt;"",Z24-VLOOKUP($D$2,'table for xbar and r chart'!$A$1:$E$25,2)*U24,"")</f>
        <v/>
      </c>
      <c r="AB24" s="25" t="str">
        <f t="shared" si="5"/>
        <v/>
      </c>
    </row>
    <row r="25" spans="2:28" s="21" customFormat="1" ht="21" customHeight="1" thickBot="1" x14ac:dyDescent="0.3">
      <c r="B25" s="22">
        <v>20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P25" s="26">
        <v>20</v>
      </c>
      <c r="Q25" s="57" t="str">
        <f t="shared" si="8"/>
        <v/>
      </c>
      <c r="R25" s="58" t="str">
        <f t="shared" si="9"/>
        <v/>
      </c>
      <c r="T25" s="43" t="str">
        <f>IF(Q25&lt;&gt;"",U25*VLOOKUP($D$2,'table for xbar and r chart'!$A$1:$E$25,5),"")</f>
        <v/>
      </c>
      <c r="U25" s="44" t="str">
        <f t="shared" si="6"/>
        <v/>
      </c>
      <c r="V25" s="44" t="str">
        <f>IF(Q25&lt;&gt;"",U25*VLOOKUP($D$2,'table for xbar and r chart'!$A$1:$E$25,4),"")</f>
        <v/>
      </c>
      <c r="W25" s="25" t="str">
        <f t="shared" si="3"/>
        <v/>
      </c>
      <c r="Y25" s="43" t="str">
        <f>IF(Q25&lt;&gt;"",Z25+VLOOKUP($D$2,'table for xbar and r chart'!$A$1:$E$25,2)*U25,"")</f>
        <v/>
      </c>
      <c r="Z25" s="44" t="str">
        <f t="shared" si="7"/>
        <v/>
      </c>
      <c r="AA25" s="44" t="str">
        <f>IF(Q25&lt;&gt;"",Z25-VLOOKUP($D$2,'table for xbar and r chart'!$A$1:$E$25,2)*U25,"")</f>
        <v/>
      </c>
      <c r="AB25" s="25" t="str">
        <f t="shared" si="5"/>
        <v/>
      </c>
    </row>
    <row r="26" spans="2:28" s="21" customFormat="1" ht="21" customHeight="1" thickBot="1" x14ac:dyDescent="0.3">
      <c r="B26" s="22">
        <v>21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P26" s="27">
        <v>21</v>
      </c>
      <c r="Q26" s="57" t="str">
        <f t="shared" si="8"/>
        <v/>
      </c>
      <c r="R26" s="58" t="str">
        <f t="shared" si="9"/>
        <v/>
      </c>
      <c r="T26" s="43" t="str">
        <f>IF(Q26&lt;&gt;"",U26*VLOOKUP($D$2,'table for xbar and r chart'!$A$1:$E$25,5),"")</f>
        <v/>
      </c>
      <c r="U26" s="44" t="str">
        <f t="shared" si="6"/>
        <v/>
      </c>
      <c r="V26" s="44" t="str">
        <f>IF(Q26&lt;&gt;"",U26*VLOOKUP($D$2,'table for xbar and r chart'!$A$1:$E$25,4),"")</f>
        <v/>
      </c>
      <c r="W26" s="25" t="str">
        <f t="shared" si="3"/>
        <v/>
      </c>
      <c r="Y26" s="43" t="str">
        <f>IF(Q26&lt;&gt;"",Z26+VLOOKUP($D$2,'table for xbar and r chart'!$A$1:$E$25,2)*U26,"")</f>
        <v/>
      </c>
      <c r="Z26" s="44" t="str">
        <f t="shared" si="7"/>
        <v/>
      </c>
      <c r="AA26" s="44" t="str">
        <f>IF(Q26&lt;&gt;"",Z26-VLOOKUP($D$2,'table for xbar and r chart'!$A$1:$E$25,2)*U26,"")</f>
        <v/>
      </c>
      <c r="AB26" s="25" t="str">
        <f t="shared" si="5"/>
        <v/>
      </c>
    </row>
  </sheetData>
  <mergeCells count="7">
    <mergeCell ref="AE1:AF1"/>
    <mergeCell ref="Y4:AB4"/>
    <mergeCell ref="P4:R4"/>
    <mergeCell ref="T4:W4"/>
    <mergeCell ref="B4:N4"/>
    <mergeCell ref="B2:C2"/>
    <mergeCell ref="B1:D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26"/>
  <sheetViews>
    <sheetView zoomScale="70" zoomScaleNormal="70" zoomScalePageLayoutView="70" workbookViewId="0">
      <selection activeCell="L33" sqref="L33"/>
    </sheetView>
  </sheetViews>
  <sheetFormatPr defaultColWidth="8.85546875" defaultRowHeight="14.25" x14ac:dyDescent="0.2"/>
  <cols>
    <col min="1" max="1" width="8.85546875" style="9"/>
    <col min="2" max="2" width="18.7109375" style="9" customWidth="1"/>
    <col min="3" max="3" width="8.85546875" style="9"/>
    <col min="4" max="4" width="11.7109375" style="9" customWidth="1"/>
    <col min="5" max="5" width="8.85546875" style="9"/>
    <col min="6" max="8" width="15.42578125" style="9" customWidth="1"/>
    <col min="9" max="9" width="20.42578125" style="9" customWidth="1"/>
    <col min="10" max="10" width="8.85546875" style="9"/>
    <col min="11" max="13" width="15.42578125" style="9" customWidth="1"/>
    <col min="14" max="14" width="20.140625" style="9" customWidth="1"/>
    <col min="15" max="15" width="8.85546875" style="9"/>
    <col min="16" max="16" width="41.7109375" style="9" bestFit="1" customWidth="1"/>
    <col min="17" max="16384" width="8.85546875" style="9"/>
  </cols>
  <sheetData>
    <row r="1" spans="2:17" ht="23.25" thickBot="1" x14ac:dyDescent="0.35">
      <c r="B1" s="86" t="s">
        <v>36</v>
      </c>
      <c r="C1" s="88"/>
      <c r="P1" s="68" t="s">
        <v>32</v>
      </c>
      <c r="Q1" s="69"/>
    </row>
    <row r="2" spans="2:17" ht="21.75" customHeight="1" thickBot="1" x14ac:dyDescent="0.3">
      <c r="B2" s="38" t="s">
        <v>26</v>
      </c>
      <c r="C2" s="23">
        <v>10</v>
      </c>
      <c r="P2" s="3" t="s">
        <v>33</v>
      </c>
      <c r="Q2" s="4"/>
    </row>
    <row r="3" spans="2:17" ht="18" customHeight="1" thickBot="1" x14ac:dyDescent="0.3">
      <c r="B3" s="19"/>
      <c r="C3" s="12"/>
      <c r="P3" s="3" t="s">
        <v>48</v>
      </c>
      <c r="Q3" s="3"/>
    </row>
    <row r="4" spans="2:17" ht="56.25" customHeight="1" thickBot="1" x14ac:dyDescent="0.35">
      <c r="B4" s="81" t="s">
        <v>34</v>
      </c>
      <c r="C4" s="82"/>
      <c r="D4" s="83"/>
      <c r="F4" s="81" t="s">
        <v>35</v>
      </c>
      <c r="G4" s="82"/>
      <c r="H4" s="82"/>
      <c r="I4" s="83"/>
      <c r="K4" s="81" t="s">
        <v>37</v>
      </c>
      <c r="L4" s="82"/>
      <c r="M4" s="82"/>
      <c r="N4" s="83"/>
      <c r="P4" s="3" t="s">
        <v>49</v>
      </c>
      <c r="Q4" s="5"/>
    </row>
    <row r="5" spans="2:17" s="21" customFormat="1" ht="32.25" thickBot="1" x14ac:dyDescent="0.3">
      <c r="B5" s="39" t="s">
        <v>22</v>
      </c>
      <c r="C5" s="39" t="s">
        <v>16</v>
      </c>
      <c r="D5" s="39" t="s">
        <v>23</v>
      </c>
      <c r="E5" s="40"/>
      <c r="F5" s="39" t="s">
        <v>24</v>
      </c>
      <c r="G5" s="39" t="s">
        <v>30</v>
      </c>
      <c r="H5" s="39" t="s">
        <v>25</v>
      </c>
      <c r="I5" s="39" t="s">
        <v>31</v>
      </c>
      <c r="J5" s="40"/>
      <c r="K5" s="39" t="s">
        <v>27</v>
      </c>
      <c r="L5" s="39" t="s">
        <v>29</v>
      </c>
      <c r="M5" s="39" t="s">
        <v>28</v>
      </c>
      <c r="N5" s="39" t="s">
        <v>31</v>
      </c>
      <c r="P5" s="3" t="s">
        <v>50</v>
      </c>
      <c r="Q5" s="6"/>
    </row>
    <row r="6" spans="2:17" s="21" customFormat="1" ht="18.75" thickBot="1" x14ac:dyDescent="0.3">
      <c r="B6" s="35">
        <v>1</v>
      </c>
      <c r="C6" s="29">
        <v>5</v>
      </c>
      <c r="D6" s="30">
        <v>21</v>
      </c>
      <c r="F6" s="43">
        <f>IF(C6&lt;&gt;"",G6*VLOOKUP($C$2,'table for xbar and r chart'!$A$1:$E$25,5),"")</f>
        <v>8.9740000000000002</v>
      </c>
      <c r="G6" s="44">
        <f t="shared" ref="G6:G26" si="0">IF(C6&lt;&gt;"",AVERAGE($C$6:$C$26),"")</f>
        <v>5.05</v>
      </c>
      <c r="H6" s="44">
        <f>IF(C6&lt;&gt;"",G6*VLOOKUP($C$2,'table for xbar and r chart'!$A$1:$E$25,4),"")</f>
        <v>1.1259999999999999</v>
      </c>
      <c r="I6" s="25" t="str">
        <f t="shared" ref="I6:I26" si="1">IF(C6&lt;&gt;"",IF(C6&gt;F6,"Above",IF(C6&lt;H6,"Below","")),"")</f>
        <v/>
      </c>
      <c r="K6" s="43">
        <f>IF(C6&lt;&gt;"",L6+VLOOKUP($C$2,'table for xbar and r chart'!$A$1:$E$25,2)*G6,"")</f>
        <v>21.954999999999998</v>
      </c>
      <c r="L6" s="44">
        <f t="shared" ref="L6:L26" si="2">IF(C6&lt;&gt;"",AVERAGE($D$6:$D$26),"")</f>
        <v>20.399999999999999</v>
      </c>
      <c r="M6" s="44">
        <f>IF(C6&lt;&gt;"",L6-VLOOKUP($C$2,'table for xbar and r chart'!$A$1:$E$25,2)*G6,"")</f>
        <v>18.844999999999999</v>
      </c>
      <c r="N6" s="25" t="str">
        <f t="shared" ref="N6:N25" si="3">IF(D6&lt;&gt;"",IF(D6&gt;K6,"Above",IF(D6&lt;M6,"Below","")),"")</f>
        <v/>
      </c>
      <c r="P6" s="3" t="s">
        <v>51</v>
      </c>
      <c r="Q6" s="7"/>
    </row>
    <row r="7" spans="2:17" s="21" customFormat="1" ht="18.75" thickBot="1" x14ac:dyDescent="0.3">
      <c r="B7" s="36">
        <v>2</v>
      </c>
      <c r="C7" s="31">
        <v>4</v>
      </c>
      <c r="D7" s="32">
        <v>20</v>
      </c>
      <c r="F7" s="43">
        <f>IF(C7&lt;&gt;"",G7*VLOOKUP($C$2,'table for xbar and r chart'!$A$1:$E$25,5),"")</f>
        <v>8.9740000000000002</v>
      </c>
      <c r="G7" s="44">
        <f t="shared" si="0"/>
        <v>5.05</v>
      </c>
      <c r="H7" s="44">
        <f>IF(C7&lt;&gt;"",G7*VLOOKUP($C$2,'table for xbar and r chart'!$A$1:$E$25,4),"")</f>
        <v>1.1259999999999999</v>
      </c>
      <c r="I7" s="25" t="str">
        <f t="shared" si="1"/>
        <v/>
      </c>
      <c r="K7" s="43">
        <f>IF(C7&lt;&gt;"",L7+VLOOKUP($C$2,'table for xbar and r chart'!$A$1:$E$25,2)*G7,"")</f>
        <v>21.954999999999998</v>
      </c>
      <c r="L7" s="44">
        <f t="shared" si="2"/>
        <v>20.399999999999999</v>
      </c>
      <c r="M7" s="44">
        <f>IF(C7&lt;&gt;"",L7-VLOOKUP($C$2,'table for xbar and r chart'!$A$1:$E$25,2)*G7,"")</f>
        <v>18.844999999999999</v>
      </c>
      <c r="N7" s="25" t="str">
        <f t="shared" si="3"/>
        <v/>
      </c>
      <c r="P7" s="3" t="s">
        <v>52</v>
      </c>
      <c r="Q7" s="8"/>
    </row>
    <row r="8" spans="2:17" s="21" customFormat="1" ht="16.5" thickBot="1" x14ac:dyDescent="0.3">
      <c r="B8" s="36">
        <v>3</v>
      </c>
      <c r="C8" s="31">
        <v>2</v>
      </c>
      <c r="D8" s="32">
        <v>23</v>
      </c>
      <c r="F8" s="43">
        <f>IF(C8&lt;&gt;"",G8*VLOOKUP($C$2,'table for xbar and r chart'!$A$1:$E$25,5),"")</f>
        <v>8.9740000000000002</v>
      </c>
      <c r="G8" s="44">
        <f t="shared" si="0"/>
        <v>5.05</v>
      </c>
      <c r="H8" s="44">
        <f>IF(C8&lt;&gt;"",G8*VLOOKUP($C$2,'table for xbar and r chart'!$A$1:$E$25,4),"")</f>
        <v>1.1259999999999999</v>
      </c>
      <c r="I8" s="25" t="str">
        <f t="shared" si="1"/>
        <v/>
      </c>
      <c r="K8" s="43">
        <f>IF(C8&lt;&gt;"",L8+VLOOKUP($C$2,'table for xbar and r chart'!$A$1:$E$25,2)*G8,"")</f>
        <v>21.954999999999998</v>
      </c>
      <c r="L8" s="44">
        <f t="shared" si="2"/>
        <v>20.399999999999999</v>
      </c>
      <c r="M8" s="44">
        <f>IF(C8&lt;&gt;"",L8-VLOOKUP($C$2,'table for xbar and r chart'!$A$1:$E$25,2)*G8,"")</f>
        <v>18.844999999999999</v>
      </c>
      <c r="N8" s="25" t="str">
        <f t="shared" si="3"/>
        <v>Above</v>
      </c>
    </row>
    <row r="9" spans="2:17" s="21" customFormat="1" ht="16.5" thickBot="1" x14ac:dyDescent="0.3">
      <c r="B9" s="36">
        <v>4</v>
      </c>
      <c r="C9" s="31">
        <v>3.5</v>
      </c>
      <c r="D9" s="32">
        <v>17</v>
      </c>
      <c r="F9" s="43">
        <f>IF(C9&lt;&gt;"",G9*VLOOKUP($C$2,'table for xbar and r chart'!$A$1:$E$25,5),"")</f>
        <v>8.9740000000000002</v>
      </c>
      <c r="G9" s="44">
        <f t="shared" si="0"/>
        <v>5.05</v>
      </c>
      <c r="H9" s="44">
        <f>IF(C9&lt;&gt;"",G9*VLOOKUP($C$2,'table for xbar and r chart'!$A$1:$E$25,4),"")</f>
        <v>1.1259999999999999</v>
      </c>
      <c r="I9" s="25" t="str">
        <f t="shared" si="1"/>
        <v/>
      </c>
      <c r="K9" s="43">
        <f>IF(C9&lt;&gt;"",L9+VLOOKUP($C$2,'table for xbar and r chart'!$A$1:$E$25,2)*G9,"")</f>
        <v>21.954999999999998</v>
      </c>
      <c r="L9" s="44">
        <f t="shared" si="2"/>
        <v>20.399999999999999</v>
      </c>
      <c r="M9" s="44">
        <f>IF(C9&lt;&gt;"",L9-VLOOKUP($C$2,'table for xbar and r chart'!$A$1:$E$25,2)*G9,"")</f>
        <v>18.844999999999999</v>
      </c>
      <c r="N9" s="25" t="str">
        <f t="shared" si="3"/>
        <v>Below</v>
      </c>
    </row>
    <row r="10" spans="2:17" s="21" customFormat="1" ht="16.5" thickBot="1" x14ac:dyDescent="0.3">
      <c r="B10" s="36">
        <v>5</v>
      </c>
      <c r="C10" s="31">
        <v>7</v>
      </c>
      <c r="D10" s="32">
        <v>18.5</v>
      </c>
      <c r="F10" s="43">
        <f>IF(C10&lt;&gt;"",G10*VLOOKUP($C$2,'table for xbar and r chart'!$A$1:$E$25,5),"")</f>
        <v>8.9740000000000002</v>
      </c>
      <c r="G10" s="44">
        <f t="shared" si="0"/>
        <v>5.05</v>
      </c>
      <c r="H10" s="44">
        <f>IF(C10&lt;&gt;"",G10*VLOOKUP($C$2,'table for xbar and r chart'!$A$1:$E$25,4),"")</f>
        <v>1.1259999999999999</v>
      </c>
      <c r="I10" s="25" t="str">
        <f t="shared" si="1"/>
        <v/>
      </c>
      <c r="K10" s="43">
        <f>IF(C10&lt;&gt;"",L10+VLOOKUP($C$2,'table for xbar and r chart'!$A$1:$E$25,2)*G10,"")</f>
        <v>21.954999999999998</v>
      </c>
      <c r="L10" s="44">
        <f t="shared" si="2"/>
        <v>20.399999999999999</v>
      </c>
      <c r="M10" s="44">
        <f>IF(C10&lt;&gt;"",L10-VLOOKUP($C$2,'table for xbar and r chart'!$A$1:$E$25,2)*G10,"")</f>
        <v>18.844999999999999</v>
      </c>
      <c r="N10" s="25" t="str">
        <f t="shared" si="3"/>
        <v>Below</v>
      </c>
    </row>
    <row r="11" spans="2:17" s="21" customFormat="1" ht="16.5" thickBot="1" x14ac:dyDescent="0.3">
      <c r="B11" s="36">
        <v>6</v>
      </c>
      <c r="C11" s="31">
        <v>5.75</v>
      </c>
      <c r="D11" s="32">
        <v>21.5</v>
      </c>
      <c r="F11" s="43">
        <f>IF(C11&lt;&gt;"",G11*VLOOKUP($C$2,'table for xbar and r chart'!$A$1:$E$25,5),"")</f>
        <v>8.9740000000000002</v>
      </c>
      <c r="G11" s="44">
        <f t="shared" si="0"/>
        <v>5.05</v>
      </c>
      <c r="H11" s="44">
        <f>IF(C11&lt;&gt;"",G11*VLOOKUP($C$2,'table for xbar and r chart'!$A$1:$E$25,4),"")</f>
        <v>1.1259999999999999</v>
      </c>
      <c r="I11" s="25" t="str">
        <f t="shared" si="1"/>
        <v/>
      </c>
      <c r="K11" s="43">
        <f>IF(C11&lt;&gt;"",L11+VLOOKUP($C$2,'table for xbar and r chart'!$A$1:$E$25,2)*G11,"")</f>
        <v>21.954999999999998</v>
      </c>
      <c r="L11" s="44">
        <f t="shared" si="2"/>
        <v>20.399999999999999</v>
      </c>
      <c r="M11" s="44">
        <f>IF(C11&lt;&gt;"",L11-VLOOKUP($C$2,'table for xbar and r chart'!$A$1:$E$25,2)*G11,"")</f>
        <v>18.844999999999999</v>
      </c>
      <c r="N11" s="25" t="str">
        <f t="shared" si="3"/>
        <v/>
      </c>
    </row>
    <row r="12" spans="2:17" s="21" customFormat="1" ht="16.5" thickBot="1" x14ac:dyDescent="0.3">
      <c r="B12" s="36">
        <v>7</v>
      </c>
      <c r="C12" s="31">
        <v>3.25</v>
      </c>
      <c r="D12" s="32">
        <v>20.25</v>
      </c>
      <c r="F12" s="43">
        <f>IF(C12&lt;&gt;"",G12*VLOOKUP($C$2,'table for xbar and r chart'!$A$1:$E$25,5),"")</f>
        <v>8.9740000000000002</v>
      </c>
      <c r="G12" s="44">
        <f t="shared" si="0"/>
        <v>5.05</v>
      </c>
      <c r="H12" s="44">
        <f>IF(C12&lt;&gt;"",G12*VLOOKUP($C$2,'table for xbar and r chart'!$A$1:$E$25,4),"")</f>
        <v>1.1259999999999999</v>
      </c>
      <c r="I12" s="25" t="str">
        <f t="shared" si="1"/>
        <v/>
      </c>
      <c r="K12" s="43">
        <f>IF(C12&lt;&gt;"",L12+VLOOKUP($C$2,'table for xbar and r chart'!$A$1:$E$25,2)*G12,"")</f>
        <v>21.954999999999998</v>
      </c>
      <c r="L12" s="44">
        <f t="shared" si="2"/>
        <v>20.399999999999999</v>
      </c>
      <c r="M12" s="44">
        <f>IF(C12&lt;&gt;"",L12-VLOOKUP($C$2,'table for xbar and r chart'!$A$1:$E$25,2)*G12,"")</f>
        <v>18.844999999999999</v>
      </c>
      <c r="N12" s="25" t="str">
        <f t="shared" si="3"/>
        <v/>
      </c>
    </row>
    <row r="13" spans="2:17" s="21" customFormat="1" ht="16.5" thickBot="1" x14ac:dyDescent="0.3">
      <c r="B13" s="36">
        <v>8</v>
      </c>
      <c r="C13" s="31">
        <v>12</v>
      </c>
      <c r="D13" s="32">
        <v>21</v>
      </c>
      <c r="F13" s="43">
        <f>IF(C13&lt;&gt;"",G13*VLOOKUP($C$2,'table for xbar and r chart'!$A$1:$E$25,5),"")</f>
        <v>8.9740000000000002</v>
      </c>
      <c r="G13" s="44">
        <f t="shared" si="0"/>
        <v>5.05</v>
      </c>
      <c r="H13" s="44">
        <f>IF(C13&lt;&gt;"",G13*VLOOKUP($C$2,'table for xbar and r chart'!$A$1:$E$25,4),"")</f>
        <v>1.1259999999999999</v>
      </c>
      <c r="I13" s="25" t="str">
        <f t="shared" si="1"/>
        <v>Above</v>
      </c>
      <c r="K13" s="43">
        <f>IF(C13&lt;&gt;"",L13+VLOOKUP($C$2,'table for xbar and r chart'!$A$1:$E$25,2)*G13,"")</f>
        <v>21.954999999999998</v>
      </c>
      <c r="L13" s="44">
        <f t="shared" si="2"/>
        <v>20.399999999999999</v>
      </c>
      <c r="M13" s="44">
        <f>IF(C13&lt;&gt;"",L13-VLOOKUP($C$2,'table for xbar and r chart'!$A$1:$E$25,2)*G13,"")</f>
        <v>18.844999999999999</v>
      </c>
      <c r="N13" s="25" t="str">
        <f t="shared" si="3"/>
        <v/>
      </c>
    </row>
    <row r="14" spans="2:17" s="21" customFormat="1" ht="16.5" thickBot="1" x14ac:dyDescent="0.3">
      <c r="B14" s="36">
        <v>9</v>
      </c>
      <c r="C14" s="31">
        <v>5</v>
      </c>
      <c r="D14" s="32">
        <v>19.75</v>
      </c>
      <c r="F14" s="43">
        <f>IF(C14&lt;&gt;"",G14*VLOOKUP($C$2,'table for xbar and r chart'!$A$1:$E$25,5),"")</f>
        <v>8.9740000000000002</v>
      </c>
      <c r="G14" s="44">
        <f t="shared" si="0"/>
        <v>5.05</v>
      </c>
      <c r="H14" s="44">
        <f>IF(C14&lt;&gt;"",G14*VLOOKUP($C$2,'table for xbar and r chart'!$A$1:$E$25,4),"")</f>
        <v>1.1259999999999999</v>
      </c>
      <c r="I14" s="25" t="str">
        <f t="shared" si="1"/>
        <v/>
      </c>
      <c r="K14" s="43">
        <f>IF(C14&lt;&gt;"",L14+VLOOKUP($C$2,'table for xbar and r chart'!$A$1:$E$25,2)*G14,"")</f>
        <v>21.954999999999998</v>
      </c>
      <c r="L14" s="44">
        <f t="shared" si="2"/>
        <v>20.399999999999999</v>
      </c>
      <c r="M14" s="44">
        <f>IF(C14&lt;&gt;"",L14-VLOOKUP($C$2,'table for xbar and r chart'!$A$1:$E$25,2)*G14,"")</f>
        <v>18.844999999999999</v>
      </c>
      <c r="N14" s="25" t="str">
        <f t="shared" si="3"/>
        <v/>
      </c>
    </row>
    <row r="15" spans="2:17" s="21" customFormat="1" ht="16.5" thickBot="1" x14ac:dyDescent="0.3">
      <c r="B15" s="36">
        <v>10</v>
      </c>
      <c r="C15" s="31">
        <v>3</v>
      </c>
      <c r="D15" s="32">
        <v>22</v>
      </c>
      <c r="F15" s="43">
        <f>IF(C15&lt;&gt;"",G15*VLOOKUP($C$2,'table for xbar and r chart'!$A$1:$E$25,5),"")</f>
        <v>8.9740000000000002</v>
      </c>
      <c r="G15" s="44">
        <f t="shared" si="0"/>
        <v>5.05</v>
      </c>
      <c r="H15" s="44">
        <f>IF(C15&lt;&gt;"",G15*VLOOKUP($C$2,'table for xbar and r chart'!$A$1:$E$25,4),"")</f>
        <v>1.1259999999999999</v>
      </c>
      <c r="I15" s="25" t="str">
        <f t="shared" si="1"/>
        <v/>
      </c>
      <c r="K15" s="43">
        <f>IF(C15&lt;&gt;"",L15+VLOOKUP($C$2,'table for xbar and r chart'!$A$1:$E$25,2)*G15,"")</f>
        <v>21.954999999999998</v>
      </c>
      <c r="L15" s="44">
        <f t="shared" si="2"/>
        <v>20.399999999999999</v>
      </c>
      <c r="M15" s="44">
        <f>IF(C15&lt;&gt;"",L15-VLOOKUP($C$2,'table for xbar and r chart'!$A$1:$E$25,2)*G15,"")</f>
        <v>18.844999999999999</v>
      </c>
      <c r="N15" s="25" t="str">
        <f t="shared" si="3"/>
        <v>Above</v>
      </c>
    </row>
    <row r="16" spans="2:17" s="21" customFormat="1" ht="16.5" thickBot="1" x14ac:dyDescent="0.3">
      <c r="B16" s="36">
        <v>11</v>
      </c>
      <c r="C16" s="31"/>
      <c r="D16" s="32"/>
      <c r="F16" s="43" t="str">
        <f>IF(C16&lt;&gt;"",G16*VLOOKUP($C$2,'table for xbar and r chart'!$A$1:$E$25,5),"")</f>
        <v/>
      </c>
      <c r="G16" s="44" t="str">
        <f t="shared" si="0"/>
        <v/>
      </c>
      <c r="H16" s="44" t="str">
        <f>IF(C16&lt;&gt;"",G16*VLOOKUP($C$2,'table for xbar and r chart'!$A$1:$E$25,4),"")</f>
        <v/>
      </c>
      <c r="I16" s="25" t="str">
        <f t="shared" si="1"/>
        <v/>
      </c>
      <c r="K16" s="43" t="str">
        <f>IF(C16&lt;&gt;"",L16+VLOOKUP($C$2,'table for xbar and r chart'!$A$1:$E$25,2)*G16,"")</f>
        <v/>
      </c>
      <c r="L16" s="44" t="str">
        <f t="shared" si="2"/>
        <v/>
      </c>
      <c r="M16" s="44" t="str">
        <f>IF(C16&lt;&gt;"",L16-VLOOKUP($C$2,'table for xbar and r chart'!$A$1:$E$25,2)*G16,"")</f>
        <v/>
      </c>
      <c r="N16" s="25" t="str">
        <f t="shared" si="3"/>
        <v/>
      </c>
    </row>
    <row r="17" spans="2:14" s="21" customFormat="1" ht="16.5" thickBot="1" x14ac:dyDescent="0.3">
      <c r="B17" s="36">
        <v>12</v>
      </c>
      <c r="C17" s="31"/>
      <c r="D17" s="32"/>
      <c r="F17" s="43" t="str">
        <f>IF(C17&lt;&gt;"",G17*VLOOKUP($C$2,'table for xbar and r chart'!$A$1:$E$25,5),"")</f>
        <v/>
      </c>
      <c r="G17" s="44" t="str">
        <f t="shared" si="0"/>
        <v/>
      </c>
      <c r="H17" s="44" t="str">
        <f>IF(C17&lt;&gt;"",G17*VLOOKUP($C$2,'table for xbar and r chart'!$A$1:$E$25,4),"")</f>
        <v/>
      </c>
      <c r="I17" s="25" t="str">
        <f t="shared" si="1"/>
        <v/>
      </c>
      <c r="K17" s="43" t="str">
        <f>IF(C17&lt;&gt;"",L17+VLOOKUP($C$2,'table for xbar and r chart'!$A$1:$E$25,2)*G17,"")</f>
        <v/>
      </c>
      <c r="L17" s="44" t="str">
        <f t="shared" si="2"/>
        <v/>
      </c>
      <c r="M17" s="44" t="str">
        <f>IF(C17&lt;&gt;"",L17-VLOOKUP($C$2,'table for xbar and r chart'!$A$1:$E$25,2)*G17,"")</f>
        <v/>
      </c>
      <c r="N17" s="25" t="str">
        <f t="shared" si="3"/>
        <v/>
      </c>
    </row>
    <row r="18" spans="2:14" s="21" customFormat="1" ht="16.5" thickBot="1" x14ac:dyDescent="0.3">
      <c r="B18" s="36">
        <v>13</v>
      </c>
      <c r="C18" s="31"/>
      <c r="D18" s="32"/>
      <c r="F18" s="43" t="str">
        <f>IF(C18&lt;&gt;"",G18*VLOOKUP($C$2,'table for xbar and r chart'!$A$1:$E$25,5),"")</f>
        <v/>
      </c>
      <c r="G18" s="44" t="str">
        <f t="shared" si="0"/>
        <v/>
      </c>
      <c r="H18" s="44" t="str">
        <f>IF(C18&lt;&gt;"",G18*VLOOKUP($C$2,'table for xbar and r chart'!$A$1:$E$25,4),"")</f>
        <v/>
      </c>
      <c r="I18" s="25" t="str">
        <f t="shared" si="1"/>
        <v/>
      </c>
      <c r="K18" s="43" t="str">
        <f>IF(C18&lt;&gt;"",L18+VLOOKUP($C$2,'table for xbar and r chart'!$A$1:$E$25,2)*G18,"")</f>
        <v/>
      </c>
      <c r="L18" s="44" t="str">
        <f t="shared" si="2"/>
        <v/>
      </c>
      <c r="M18" s="44" t="str">
        <f>IF(C18&lt;&gt;"",L18-VLOOKUP($C$2,'table for xbar and r chart'!$A$1:$E$25,2)*G18,"")</f>
        <v/>
      </c>
      <c r="N18" s="25" t="str">
        <f t="shared" si="3"/>
        <v/>
      </c>
    </row>
    <row r="19" spans="2:14" s="21" customFormat="1" ht="16.5" thickBot="1" x14ac:dyDescent="0.3">
      <c r="B19" s="36">
        <v>14</v>
      </c>
      <c r="C19" s="31"/>
      <c r="D19" s="32"/>
      <c r="F19" s="43" t="str">
        <f>IF(C19&lt;&gt;"",G19*VLOOKUP($C$2,'table for xbar and r chart'!$A$1:$E$25,5),"")</f>
        <v/>
      </c>
      <c r="G19" s="44" t="str">
        <f t="shared" si="0"/>
        <v/>
      </c>
      <c r="H19" s="44" t="str">
        <f>IF(C19&lt;&gt;"",G19*VLOOKUP($C$2,'table for xbar and r chart'!$A$1:$E$25,4),"")</f>
        <v/>
      </c>
      <c r="I19" s="25" t="str">
        <f t="shared" si="1"/>
        <v/>
      </c>
      <c r="K19" s="43" t="str">
        <f>IF(C19&lt;&gt;"",L19+VLOOKUP($C$2,'table for xbar and r chart'!$A$1:$E$25,2)*G19,"")</f>
        <v/>
      </c>
      <c r="L19" s="44" t="str">
        <f t="shared" si="2"/>
        <v/>
      </c>
      <c r="M19" s="44" t="str">
        <f>IF(C19&lt;&gt;"",L19-VLOOKUP($C$2,'table for xbar and r chart'!$A$1:$E$25,2)*G19,"")</f>
        <v/>
      </c>
      <c r="N19" s="25" t="str">
        <f t="shared" si="3"/>
        <v/>
      </c>
    </row>
    <row r="20" spans="2:14" s="21" customFormat="1" ht="16.5" thickBot="1" x14ac:dyDescent="0.3">
      <c r="B20" s="36">
        <v>15</v>
      </c>
      <c r="C20" s="31"/>
      <c r="D20" s="32"/>
      <c r="F20" s="43" t="str">
        <f>IF(C20&lt;&gt;"",G20*VLOOKUP($C$2,'table for xbar and r chart'!$A$1:$E$25,5),"")</f>
        <v/>
      </c>
      <c r="G20" s="44" t="str">
        <f t="shared" si="0"/>
        <v/>
      </c>
      <c r="H20" s="44" t="str">
        <f>IF(C20&lt;&gt;"",G20*VLOOKUP($C$2,'table for xbar and r chart'!$A$1:$E$25,4),"")</f>
        <v/>
      </c>
      <c r="I20" s="25" t="str">
        <f t="shared" si="1"/>
        <v/>
      </c>
      <c r="K20" s="43" t="str">
        <f>IF(C20&lt;&gt;"",L20+VLOOKUP($C$2,'table for xbar and r chart'!$A$1:$E$25,2)*G20,"")</f>
        <v/>
      </c>
      <c r="L20" s="44" t="str">
        <f t="shared" si="2"/>
        <v/>
      </c>
      <c r="M20" s="44" t="str">
        <f>IF(C20&lt;&gt;"",L20-VLOOKUP($C$2,'table for xbar and r chart'!$A$1:$E$25,2)*G20,"")</f>
        <v/>
      </c>
      <c r="N20" s="25" t="str">
        <f t="shared" si="3"/>
        <v/>
      </c>
    </row>
    <row r="21" spans="2:14" s="21" customFormat="1" ht="16.5" thickBot="1" x14ac:dyDescent="0.3">
      <c r="B21" s="36">
        <v>16</v>
      </c>
      <c r="C21" s="31"/>
      <c r="D21" s="32"/>
      <c r="F21" s="43" t="str">
        <f>IF(C21&lt;&gt;"",G21*VLOOKUP($C$2,'table for xbar and r chart'!$A$1:$E$25,5),"")</f>
        <v/>
      </c>
      <c r="G21" s="44" t="str">
        <f t="shared" si="0"/>
        <v/>
      </c>
      <c r="H21" s="44" t="str">
        <f>IF(C21&lt;&gt;"",G21*VLOOKUP($C$2,'table for xbar and r chart'!$A$1:$E$25,4),"")</f>
        <v/>
      </c>
      <c r="I21" s="25" t="str">
        <f t="shared" si="1"/>
        <v/>
      </c>
      <c r="K21" s="43" t="str">
        <f>IF(C21&lt;&gt;"",L21+VLOOKUP($C$2,'table for xbar and r chart'!$A$1:$E$25,2)*G21,"")</f>
        <v/>
      </c>
      <c r="L21" s="44" t="str">
        <f t="shared" si="2"/>
        <v/>
      </c>
      <c r="M21" s="44" t="str">
        <f>IF(C21&lt;&gt;"",L21-VLOOKUP($C$2,'table for xbar and r chart'!$A$1:$E$25,2)*G21,"")</f>
        <v/>
      </c>
      <c r="N21" s="25" t="str">
        <f t="shared" si="3"/>
        <v/>
      </c>
    </row>
    <row r="22" spans="2:14" s="21" customFormat="1" ht="16.5" thickBot="1" x14ac:dyDescent="0.3">
      <c r="B22" s="36">
        <v>17</v>
      </c>
      <c r="C22" s="31"/>
      <c r="D22" s="32"/>
      <c r="F22" s="43" t="str">
        <f>IF(C22&lt;&gt;"",G22*VLOOKUP($C$2,'table for xbar and r chart'!$A$1:$E$25,5),"")</f>
        <v/>
      </c>
      <c r="G22" s="44" t="str">
        <f t="shared" si="0"/>
        <v/>
      </c>
      <c r="H22" s="44" t="str">
        <f>IF(C22&lt;&gt;"",G22*VLOOKUP($C$2,'table for xbar and r chart'!$A$1:$E$25,4),"")</f>
        <v/>
      </c>
      <c r="I22" s="25" t="str">
        <f t="shared" si="1"/>
        <v/>
      </c>
      <c r="K22" s="43" t="str">
        <f>IF(C22&lt;&gt;"",L22+VLOOKUP($C$2,'table for xbar and r chart'!$A$1:$E$25,2)*G22,"")</f>
        <v/>
      </c>
      <c r="L22" s="44" t="str">
        <f t="shared" si="2"/>
        <v/>
      </c>
      <c r="M22" s="44" t="str">
        <f>IF(C22&lt;&gt;"",L22-VLOOKUP($C$2,'table for xbar and r chart'!$A$1:$E$25,2)*G22,"")</f>
        <v/>
      </c>
      <c r="N22" s="25" t="str">
        <f t="shared" si="3"/>
        <v/>
      </c>
    </row>
    <row r="23" spans="2:14" s="21" customFormat="1" ht="16.5" thickBot="1" x14ac:dyDescent="0.3">
      <c r="B23" s="36">
        <v>18</v>
      </c>
      <c r="C23" s="31"/>
      <c r="D23" s="32"/>
      <c r="F23" s="43" t="str">
        <f>IF(C23&lt;&gt;"",G23*VLOOKUP($C$2,'table for xbar and r chart'!$A$1:$E$25,5),"")</f>
        <v/>
      </c>
      <c r="G23" s="44" t="str">
        <f t="shared" si="0"/>
        <v/>
      </c>
      <c r="H23" s="44" t="str">
        <f>IF(C23&lt;&gt;"",G23*VLOOKUP($C$2,'table for xbar and r chart'!$A$1:$E$25,4),"")</f>
        <v/>
      </c>
      <c r="I23" s="25" t="str">
        <f t="shared" si="1"/>
        <v/>
      </c>
      <c r="K23" s="43" t="str">
        <f>IF(C23&lt;&gt;"",L23+VLOOKUP($C$2,'table for xbar and r chart'!$A$1:$E$25,2)*G23,"")</f>
        <v/>
      </c>
      <c r="L23" s="44" t="str">
        <f t="shared" si="2"/>
        <v/>
      </c>
      <c r="M23" s="44" t="str">
        <f>IF(C23&lt;&gt;"",L23-VLOOKUP($C$2,'table for xbar and r chart'!$A$1:$E$25,2)*G23,"")</f>
        <v/>
      </c>
      <c r="N23" s="25" t="str">
        <f t="shared" si="3"/>
        <v/>
      </c>
    </row>
    <row r="24" spans="2:14" s="21" customFormat="1" ht="16.5" thickBot="1" x14ac:dyDescent="0.3">
      <c r="B24" s="36">
        <v>19</v>
      </c>
      <c r="C24" s="31"/>
      <c r="D24" s="32"/>
      <c r="F24" s="43" t="str">
        <f>IF(C24&lt;&gt;"",G24*VLOOKUP($C$2,'table for xbar and r chart'!$A$1:$E$25,5),"")</f>
        <v/>
      </c>
      <c r="G24" s="44" t="str">
        <f t="shared" si="0"/>
        <v/>
      </c>
      <c r="H24" s="44" t="str">
        <f>IF(C24&lt;&gt;"",G24*VLOOKUP($C$2,'table for xbar and r chart'!$A$1:$E$25,4),"")</f>
        <v/>
      </c>
      <c r="I24" s="25" t="str">
        <f t="shared" si="1"/>
        <v/>
      </c>
      <c r="K24" s="43" t="str">
        <f>IF(C24&lt;&gt;"",L24+VLOOKUP($C$2,'table for xbar and r chart'!$A$1:$E$25,2)*G24,"")</f>
        <v/>
      </c>
      <c r="L24" s="44" t="str">
        <f t="shared" si="2"/>
        <v/>
      </c>
      <c r="M24" s="44" t="str">
        <f>IF(C24&lt;&gt;"",L24-VLOOKUP($C$2,'table for xbar and r chart'!$A$1:$E$25,2)*G24,"")</f>
        <v/>
      </c>
      <c r="N24" s="25" t="str">
        <f t="shared" si="3"/>
        <v/>
      </c>
    </row>
    <row r="25" spans="2:14" s="21" customFormat="1" ht="16.5" thickBot="1" x14ac:dyDescent="0.3">
      <c r="B25" s="36">
        <v>20</v>
      </c>
      <c r="C25" s="31"/>
      <c r="D25" s="32"/>
      <c r="F25" s="43" t="str">
        <f>IF(C25&lt;&gt;"",G25*VLOOKUP($C$2,'table for xbar and r chart'!$A$1:$E$25,5),"")</f>
        <v/>
      </c>
      <c r="G25" s="44" t="str">
        <f t="shared" si="0"/>
        <v/>
      </c>
      <c r="H25" s="44" t="str">
        <f>IF(C25&lt;&gt;"",G25*VLOOKUP($C$2,'table for xbar and r chart'!$A$1:$E$25,4),"")</f>
        <v/>
      </c>
      <c r="I25" s="25" t="str">
        <f t="shared" si="1"/>
        <v/>
      </c>
      <c r="K25" s="43" t="str">
        <f>IF(C25&lt;&gt;"",L25+VLOOKUP($C$2,'table for xbar and r chart'!$A$1:$E$25,2)*G25,"")</f>
        <v/>
      </c>
      <c r="L25" s="44" t="str">
        <f t="shared" si="2"/>
        <v/>
      </c>
      <c r="M25" s="44" t="str">
        <f>IF(C25&lt;&gt;"",L25-VLOOKUP($C$2,'table for xbar and r chart'!$A$1:$E$25,2)*G25,"")</f>
        <v/>
      </c>
      <c r="N25" s="25" t="str">
        <f t="shared" si="3"/>
        <v/>
      </c>
    </row>
    <row r="26" spans="2:14" s="21" customFormat="1" ht="16.5" thickBot="1" x14ac:dyDescent="0.3">
      <c r="B26" s="37">
        <v>21</v>
      </c>
      <c r="C26" s="33"/>
      <c r="D26" s="34"/>
      <c r="F26" s="43" t="str">
        <f>IF(C26&lt;&gt;"",G26*VLOOKUP($C$2,'table for xbar and r chart'!$A$1:$E$25,5),"")</f>
        <v/>
      </c>
      <c r="G26" s="44" t="str">
        <f t="shared" si="0"/>
        <v/>
      </c>
      <c r="H26" s="44" t="str">
        <f>IF(C26&lt;&gt;"",G26*VLOOKUP($C$2,'table for xbar and r chart'!$A$1:$E$25,4),"")</f>
        <v/>
      </c>
      <c r="I26" s="25" t="str">
        <f t="shared" si="1"/>
        <v/>
      </c>
      <c r="K26" s="43" t="str">
        <f>IF(C26&lt;&gt;"",L26+VLOOKUP($C$2,'table for xbar and r chart'!$A$1:$E$25,2)*G26,"")</f>
        <v/>
      </c>
      <c r="L26" s="44" t="str">
        <f t="shared" si="2"/>
        <v/>
      </c>
      <c r="M26" s="44" t="str">
        <f>IF(C26&lt;&gt;"",L26-VLOOKUP($C$2,'table for xbar and r chart'!$A$1:$E$25,2)*G26,"")</f>
        <v/>
      </c>
      <c r="N26" s="25" t="str">
        <f t="shared" ref="N26" si="4">IF(D26&lt;&gt;"",IF(D26&gt;K26,"Above",IF(D26&lt;M26,"Below","")),"")</f>
        <v/>
      </c>
    </row>
  </sheetData>
  <mergeCells count="5">
    <mergeCell ref="B4:D4"/>
    <mergeCell ref="F4:I4"/>
    <mergeCell ref="P1:Q1"/>
    <mergeCell ref="K4:N4"/>
    <mergeCell ref="B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topLeftCell="A13" workbookViewId="0">
      <selection activeCell="D7" sqref="D7"/>
    </sheetView>
  </sheetViews>
  <sheetFormatPr defaultColWidth="8.85546875" defaultRowHeight="15" x14ac:dyDescent="0.25"/>
  <cols>
    <col min="1" max="1" width="13.140625" customWidth="1"/>
  </cols>
  <sheetData>
    <row r="1" spans="1:5" ht="16.5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s="2">
        <v>2</v>
      </c>
      <c r="B2" s="2">
        <v>1.88</v>
      </c>
      <c r="C2" s="2">
        <v>1.1279999999999999</v>
      </c>
      <c r="D2" s="2">
        <v>0</v>
      </c>
      <c r="E2" s="2">
        <v>3.2679999999999998</v>
      </c>
    </row>
    <row r="3" spans="1:5" x14ac:dyDescent="0.25">
      <c r="A3" s="2">
        <v>3</v>
      </c>
      <c r="B3" s="2">
        <v>1.0229999999999999</v>
      </c>
      <c r="C3" s="2">
        <v>1.6930000000000001</v>
      </c>
      <c r="D3" s="2">
        <v>0</v>
      </c>
      <c r="E3" s="2">
        <v>2.5739999999999998</v>
      </c>
    </row>
    <row r="4" spans="1:5" x14ac:dyDescent="0.25">
      <c r="A4" s="2">
        <v>4</v>
      </c>
      <c r="B4" s="2">
        <v>0.72899999999999998</v>
      </c>
      <c r="C4" s="2">
        <v>2.0590000000000002</v>
      </c>
      <c r="D4" s="2">
        <v>0</v>
      </c>
      <c r="E4" s="2">
        <v>2.282</v>
      </c>
    </row>
    <row r="5" spans="1:5" x14ac:dyDescent="0.25">
      <c r="A5" s="2">
        <v>5</v>
      </c>
      <c r="B5" s="2">
        <v>0.57699999999999996</v>
      </c>
      <c r="C5" s="2">
        <v>2.3260000000000001</v>
      </c>
      <c r="D5" s="2">
        <v>0</v>
      </c>
      <c r="E5" s="2">
        <v>2.1139999999999999</v>
      </c>
    </row>
    <row r="6" spans="1:5" x14ac:dyDescent="0.25">
      <c r="A6" s="2">
        <v>6</v>
      </c>
      <c r="B6" s="2">
        <v>0.48299999999999998</v>
      </c>
      <c r="C6" s="2">
        <v>2.5339999999999998</v>
      </c>
      <c r="D6" s="2">
        <v>0</v>
      </c>
      <c r="E6" s="2">
        <v>2.004</v>
      </c>
    </row>
    <row r="7" spans="1:5" x14ac:dyDescent="0.25">
      <c r="A7" s="2">
        <v>7</v>
      </c>
      <c r="B7" s="2">
        <v>0.41899999999999998</v>
      </c>
      <c r="C7" s="2">
        <v>2.7040000000000002</v>
      </c>
      <c r="D7" s="2">
        <v>7.5999999999999998E-2</v>
      </c>
      <c r="E7" s="2">
        <v>1.9239999999999999</v>
      </c>
    </row>
    <row r="8" spans="1:5" x14ac:dyDescent="0.25">
      <c r="A8" s="2">
        <v>8</v>
      </c>
      <c r="B8" s="2">
        <v>0.373</v>
      </c>
      <c r="C8" s="2">
        <v>2.847</v>
      </c>
      <c r="D8" s="2">
        <v>0.13600000000000001</v>
      </c>
      <c r="E8" s="2">
        <v>1.8640000000000001</v>
      </c>
    </row>
    <row r="9" spans="1:5" x14ac:dyDescent="0.25">
      <c r="A9" s="2">
        <v>9</v>
      </c>
      <c r="B9" s="2">
        <v>0.33700000000000002</v>
      </c>
      <c r="C9" s="2">
        <v>2.97</v>
      </c>
      <c r="D9" s="2">
        <v>0.184</v>
      </c>
      <c r="E9" s="2">
        <v>1.8160000000000001</v>
      </c>
    </row>
    <row r="10" spans="1:5" x14ac:dyDescent="0.25">
      <c r="A10" s="2">
        <v>10</v>
      </c>
      <c r="B10" s="2">
        <v>0.308</v>
      </c>
      <c r="C10" s="2">
        <v>3.0779999999999998</v>
      </c>
      <c r="D10" s="2">
        <v>0.223</v>
      </c>
      <c r="E10" s="2">
        <v>1.7769999999999999</v>
      </c>
    </row>
    <row r="11" spans="1:5" x14ac:dyDescent="0.25">
      <c r="A11" s="2">
        <v>11</v>
      </c>
      <c r="B11" s="2">
        <v>0.28499999999999998</v>
      </c>
      <c r="C11" s="2">
        <v>3.173</v>
      </c>
      <c r="D11" s="2">
        <v>0.25600000000000001</v>
      </c>
      <c r="E11" s="2">
        <v>1.744</v>
      </c>
    </row>
    <row r="12" spans="1:5" x14ac:dyDescent="0.25">
      <c r="A12" s="2">
        <v>12</v>
      </c>
      <c r="B12" s="2">
        <v>0.26600000000000001</v>
      </c>
      <c r="C12" s="2">
        <v>3.258</v>
      </c>
      <c r="D12" s="2">
        <v>0.28299999999999997</v>
      </c>
      <c r="E12" s="2">
        <v>1.7170000000000001</v>
      </c>
    </row>
    <row r="13" spans="1:5" x14ac:dyDescent="0.25">
      <c r="A13" s="2">
        <v>13</v>
      </c>
      <c r="B13" s="2">
        <v>0.249</v>
      </c>
      <c r="C13" s="2">
        <v>3.3359999999999999</v>
      </c>
      <c r="D13" s="2">
        <v>0.307</v>
      </c>
      <c r="E13" s="2">
        <v>1.6930000000000001</v>
      </c>
    </row>
    <row r="14" spans="1:5" x14ac:dyDescent="0.25">
      <c r="A14" s="2">
        <v>14</v>
      </c>
      <c r="B14" s="2">
        <v>0.23499999999999999</v>
      </c>
      <c r="C14" s="2">
        <v>3.407</v>
      </c>
      <c r="D14" s="2">
        <v>0.32800000000000001</v>
      </c>
      <c r="E14" s="2">
        <v>1.6719999999999999</v>
      </c>
    </row>
    <row r="15" spans="1:5" x14ac:dyDescent="0.25">
      <c r="A15" s="2">
        <v>15</v>
      </c>
      <c r="B15" s="2">
        <v>0.223</v>
      </c>
      <c r="C15" s="2">
        <v>3.472</v>
      </c>
      <c r="D15" s="2">
        <v>0.34699999999999998</v>
      </c>
      <c r="E15" s="2">
        <v>1.653</v>
      </c>
    </row>
    <row r="16" spans="1:5" x14ac:dyDescent="0.25">
      <c r="A16" s="2">
        <v>16</v>
      </c>
      <c r="B16" s="2">
        <v>0.21199999999999999</v>
      </c>
      <c r="C16" s="2">
        <v>3.532</v>
      </c>
      <c r="D16" s="2">
        <v>0.36299999999999999</v>
      </c>
      <c r="E16" s="2">
        <v>1.637</v>
      </c>
    </row>
    <row r="17" spans="1:5" x14ac:dyDescent="0.25">
      <c r="A17" s="2">
        <v>17</v>
      </c>
      <c r="B17" s="2">
        <v>0.20300000000000001</v>
      </c>
      <c r="C17" s="2">
        <v>3.5880000000000001</v>
      </c>
      <c r="D17" s="2">
        <v>0.378</v>
      </c>
      <c r="E17" s="2">
        <v>1.6220000000000001</v>
      </c>
    </row>
    <row r="18" spans="1:5" x14ac:dyDescent="0.25">
      <c r="A18" s="2">
        <v>18</v>
      </c>
      <c r="B18" s="2">
        <v>0.19400000000000001</v>
      </c>
      <c r="C18" s="2">
        <v>3.64</v>
      </c>
      <c r="D18" s="2">
        <v>0.39100000000000001</v>
      </c>
      <c r="E18" s="2">
        <v>1.6080000000000001</v>
      </c>
    </row>
    <row r="19" spans="1:5" x14ac:dyDescent="0.25">
      <c r="A19" s="2">
        <v>19</v>
      </c>
      <c r="B19" s="2">
        <v>0.187</v>
      </c>
      <c r="C19" s="2">
        <v>3.6890000000000001</v>
      </c>
      <c r="D19" s="2">
        <v>0.40300000000000002</v>
      </c>
      <c r="E19" s="2">
        <v>1.597</v>
      </c>
    </row>
    <row r="20" spans="1:5" x14ac:dyDescent="0.25">
      <c r="A20" s="2">
        <v>20</v>
      </c>
      <c r="B20" s="2">
        <v>0.18</v>
      </c>
      <c r="C20" s="2">
        <v>3.7349999999999999</v>
      </c>
      <c r="D20" s="2">
        <v>0.41499999999999998</v>
      </c>
      <c r="E20" s="2">
        <v>1.585</v>
      </c>
    </row>
    <row r="21" spans="1:5" x14ac:dyDescent="0.25">
      <c r="A21" s="2">
        <v>21</v>
      </c>
      <c r="B21" s="2">
        <v>0.17299999999999999</v>
      </c>
      <c r="C21" s="2">
        <v>3.778</v>
      </c>
      <c r="D21" s="2">
        <v>0.42499999999999999</v>
      </c>
      <c r="E21" s="2">
        <v>1.575</v>
      </c>
    </row>
    <row r="22" spans="1:5" x14ac:dyDescent="0.25">
      <c r="A22" s="2">
        <v>22</v>
      </c>
      <c r="B22" s="2">
        <v>0.16700000000000001</v>
      </c>
      <c r="C22" s="2">
        <v>3.819</v>
      </c>
      <c r="D22" s="2">
        <v>0.434</v>
      </c>
      <c r="E22" s="2">
        <v>1.5660000000000001</v>
      </c>
    </row>
    <row r="23" spans="1:5" x14ac:dyDescent="0.25">
      <c r="A23" s="2">
        <v>23</v>
      </c>
      <c r="B23" s="2">
        <v>0.16200000000000001</v>
      </c>
      <c r="C23" s="2">
        <v>3.8580000000000001</v>
      </c>
      <c r="D23" s="2">
        <v>0.443</v>
      </c>
      <c r="E23" s="2">
        <v>1.5569999999999999</v>
      </c>
    </row>
    <row r="24" spans="1:5" x14ac:dyDescent="0.25">
      <c r="A24" s="2">
        <v>24</v>
      </c>
      <c r="B24" s="2">
        <v>0.157</v>
      </c>
      <c r="C24" s="2">
        <v>3.895</v>
      </c>
      <c r="D24" s="2">
        <v>0.45100000000000001</v>
      </c>
      <c r="E24" s="2">
        <v>1.548</v>
      </c>
    </row>
    <row r="25" spans="1:5" x14ac:dyDescent="0.25">
      <c r="A25" s="2">
        <v>25</v>
      </c>
      <c r="B25" s="2">
        <v>0.153</v>
      </c>
      <c r="C25" s="2">
        <v>3.931</v>
      </c>
      <c r="D25" s="2">
        <v>0.45900000000000002</v>
      </c>
      <c r="E25" s="2">
        <v>1.5409999999999999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 chart input</vt:lpstr>
      <vt:lpstr>p-chart alpha not given</vt:lpstr>
      <vt:lpstr>p-chart alpha given</vt:lpstr>
      <vt:lpstr>xbar and r chart raw data input</vt:lpstr>
      <vt:lpstr>xbar and r chart compiled data </vt:lpstr>
      <vt:lpstr>table for xbar and r 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Heeren</dc:creator>
  <cp:lastModifiedBy>Leslie</cp:lastModifiedBy>
  <dcterms:created xsi:type="dcterms:W3CDTF">2018-04-26T18:47:32Z</dcterms:created>
  <dcterms:modified xsi:type="dcterms:W3CDTF">2020-02-26T17:38:47Z</dcterms:modified>
</cp:coreProperties>
</file>